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Инструкция" sheetId="2" r:id="rId1"/>
    <sheet name="Судный день" sheetId="6" r:id="rId2"/>
    <sheet name="Армагеддон" sheetId="7" r:id="rId3"/>
    <sheet name="Вторжение теней" sheetId="8" r:id="rId4"/>
  </sheets>
  <calcPr calcId="152511"/>
</workbook>
</file>

<file path=xl/calcChain.xml><?xml version="1.0" encoding="utf-8"?>
<calcChain xmlns="http://schemas.openxmlformats.org/spreadsheetml/2006/main">
  <c r="D66" i="8" l="1"/>
  <c r="D68" i="8" s="1"/>
  <c r="D69" i="8" s="1"/>
  <c r="D67" i="8" s="1"/>
  <c r="H66" i="8"/>
  <c r="G66" i="8" s="1"/>
  <c r="G68" i="8" s="1"/>
  <c r="G69" i="8" s="1"/>
  <c r="G67" i="8" s="1"/>
  <c r="E73" i="8"/>
  <c r="E75" i="8" s="1"/>
  <c r="E76" i="8" s="1"/>
  <c r="E74" i="8" s="1"/>
  <c r="H73" i="8"/>
  <c r="G73" i="8" s="1"/>
  <c r="G75" i="8" s="1"/>
  <c r="G76" i="8" s="1"/>
  <c r="I74" i="8"/>
  <c r="D46" i="8"/>
  <c r="D73" i="8"/>
  <c r="D75" i="8" s="1"/>
  <c r="D76" i="8" s="1"/>
  <c r="I77" i="8"/>
  <c r="I76" i="8"/>
  <c r="I69" i="8"/>
  <c r="J76" i="8"/>
  <c r="J77" i="8" s="1"/>
  <c r="J69" i="8"/>
  <c r="J67" i="8"/>
  <c r="I67" i="8"/>
  <c r="I62" i="8"/>
  <c r="I63" i="8" s="1"/>
  <c r="H62" i="8"/>
  <c r="H63" i="8" s="1"/>
  <c r="G55" i="8"/>
  <c r="G53" i="8" s="1"/>
  <c r="D48" i="8"/>
  <c r="I60" i="8"/>
  <c r="H60" i="8"/>
  <c r="F129" i="7"/>
  <c r="F130" i="7" s="1"/>
  <c r="E72" i="7"/>
  <c r="E73" i="7" s="1"/>
  <c r="E88" i="7"/>
  <c r="E89" i="7" s="1"/>
  <c r="F76" i="6"/>
  <c r="F78" i="6" s="1"/>
  <c r="F84" i="6"/>
  <c r="F86" i="6" s="1"/>
  <c r="E59" i="6"/>
  <c r="E62" i="6" s="1"/>
  <c r="E51" i="6"/>
  <c r="E53" i="6" s="1"/>
  <c r="E80" i="7"/>
  <c r="E81" i="7" s="1"/>
  <c r="F105" i="7"/>
  <c r="F106" i="7" s="1"/>
  <c r="F113" i="7"/>
  <c r="F115" i="7"/>
  <c r="F121" i="7"/>
  <c r="F124" i="7" s="1"/>
  <c r="C40" i="7"/>
  <c r="E64" i="7"/>
  <c r="E66" i="7" s="1"/>
  <c r="D39" i="7"/>
  <c r="C39" i="7" s="1"/>
  <c r="D34" i="6"/>
  <c r="D35" i="6" s="1"/>
  <c r="D47" i="7"/>
  <c r="C47" i="7" s="1"/>
  <c r="C48" i="7" s="1"/>
  <c r="H68" i="8" l="1"/>
  <c r="H69" i="8" s="1"/>
  <c r="J74" i="8"/>
  <c r="D74" i="8"/>
  <c r="D77" i="8"/>
  <c r="H75" i="8"/>
  <c r="H76" i="8" s="1"/>
  <c r="H77" i="8" s="1"/>
  <c r="G77" i="8"/>
  <c r="G74" i="8"/>
  <c r="F73" i="8"/>
  <c r="F75" i="8" s="1"/>
  <c r="F76" i="8" s="1"/>
  <c r="F77" i="6"/>
  <c r="F79" i="6"/>
  <c r="F85" i="6"/>
  <c r="D36" i="6"/>
  <c r="E61" i="6"/>
  <c r="E76" i="6"/>
  <c r="E52" i="6"/>
  <c r="E60" i="6"/>
  <c r="D59" i="6"/>
  <c r="D61" i="6" s="1"/>
  <c r="D80" i="7"/>
  <c r="D81" i="7" s="1"/>
  <c r="F107" i="7"/>
  <c r="F114" i="7"/>
  <c r="F122" i="7"/>
  <c r="E65" i="7"/>
  <c r="D40" i="7"/>
  <c r="D48" i="7"/>
  <c r="F116" i="7"/>
  <c r="D72" i="7"/>
  <c r="C72" i="7" s="1"/>
  <c r="C73" i="7" s="1"/>
  <c r="F108" i="7"/>
  <c r="F123" i="7"/>
  <c r="E113" i="7"/>
  <c r="E105" i="7"/>
  <c r="E106" i="7" s="1"/>
  <c r="E75" i="7"/>
  <c r="D42" i="7"/>
  <c r="C41" i="7"/>
  <c r="E67" i="7"/>
  <c r="C42" i="7"/>
  <c r="E82" i="7"/>
  <c r="E74" i="7"/>
  <c r="D64" i="7"/>
  <c r="D65" i="7" s="1"/>
  <c r="D50" i="7"/>
  <c r="C50" i="7"/>
  <c r="C49" i="7"/>
  <c r="D49" i="7"/>
  <c r="G49" i="7" s="1"/>
  <c r="D41" i="7"/>
  <c r="G41" i="7" s="1"/>
  <c r="H74" i="8" l="1"/>
  <c r="F77" i="8"/>
  <c r="F74" i="8"/>
  <c r="C73" i="8"/>
  <c r="C75" i="8" s="1"/>
  <c r="C76" i="8" s="1"/>
  <c r="K76" i="8" s="1"/>
  <c r="D74" i="7"/>
  <c r="E79" i="6"/>
  <c r="E78" i="6"/>
  <c r="E77" i="6"/>
  <c r="D76" i="6"/>
  <c r="D62" i="6"/>
  <c r="C59" i="6"/>
  <c r="C61" i="6" s="1"/>
  <c r="D60" i="6"/>
  <c r="C80" i="7"/>
  <c r="C81" i="7" s="1"/>
  <c r="D82" i="7"/>
  <c r="G82" i="7" s="1"/>
  <c r="G85" i="7" s="1"/>
  <c r="D83" i="7"/>
  <c r="E116" i="7"/>
  <c r="E114" i="7"/>
  <c r="G42" i="7"/>
  <c r="I42" i="7" s="1"/>
  <c r="G44" i="7"/>
  <c r="I44" i="7" s="1"/>
  <c r="I41" i="7"/>
  <c r="D75" i="7"/>
  <c r="D73" i="7"/>
  <c r="C75" i="7"/>
  <c r="G75" i="7" s="1"/>
  <c r="I75" i="7" s="1"/>
  <c r="G43" i="7"/>
  <c r="I43" i="7" s="1"/>
  <c r="D105" i="7"/>
  <c r="D106" i="7" s="1"/>
  <c r="E107" i="7"/>
  <c r="E108" i="7"/>
  <c r="G51" i="7"/>
  <c r="G52" i="7"/>
  <c r="E115" i="7"/>
  <c r="D113" i="7"/>
  <c r="G74" i="7"/>
  <c r="I74" i="7" s="1"/>
  <c r="C74" i="7"/>
  <c r="C64" i="7"/>
  <c r="C65" i="7" s="1"/>
  <c r="D66" i="7"/>
  <c r="G66" i="7" s="1"/>
  <c r="I66" i="7" s="1"/>
  <c r="D67" i="7"/>
  <c r="C77" i="8" l="1"/>
  <c r="C74" i="8"/>
  <c r="K75" i="8"/>
  <c r="L75" i="8" s="1"/>
  <c r="K77" i="8"/>
  <c r="L77" i="8" s="1"/>
  <c r="D79" i="6"/>
  <c r="D78" i="6"/>
  <c r="G78" i="6" s="1"/>
  <c r="C76" i="6"/>
  <c r="D77" i="6"/>
  <c r="C60" i="6"/>
  <c r="G61" i="6"/>
  <c r="I61" i="6" s="1"/>
  <c r="C62" i="6"/>
  <c r="G62" i="6" s="1"/>
  <c r="I62" i="6" s="1"/>
  <c r="D116" i="7"/>
  <c r="D114" i="7"/>
  <c r="H42" i="7"/>
  <c r="G84" i="7"/>
  <c r="G77" i="7"/>
  <c r="I77" i="7" s="1"/>
  <c r="G76" i="7"/>
  <c r="I76" i="7" s="1"/>
  <c r="C66" i="7"/>
  <c r="C67" i="7"/>
  <c r="G67" i="7" s="1"/>
  <c r="I67" i="7" s="1"/>
  <c r="G69" i="7"/>
  <c r="I69" i="7" s="1"/>
  <c r="G68" i="7"/>
  <c r="I68" i="7" s="1"/>
  <c r="D108" i="7"/>
  <c r="C105" i="7"/>
  <c r="C106" i="7" s="1"/>
  <c r="D107" i="7"/>
  <c r="G107" i="7" s="1"/>
  <c r="I107" i="7" s="1"/>
  <c r="D115" i="7"/>
  <c r="G115" i="7" s="1"/>
  <c r="C113" i="7"/>
  <c r="H75" i="7"/>
  <c r="C79" i="6" l="1"/>
  <c r="C78" i="6"/>
  <c r="I78" i="6"/>
  <c r="G81" i="6"/>
  <c r="I81" i="6" s="1"/>
  <c r="G80" i="6"/>
  <c r="I80" i="6" s="1"/>
  <c r="C77" i="6"/>
  <c r="G79" i="6"/>
  <c r="I79" i="6" s="1"/>
  <c r="G64" i="6"/>
  <c r="I64" i="6" s="1"/>
  <c r="G63" i="6"/>
  <c r="I63" i="6" s="1"/>
  <c r="H62" i="6"/>
  <c r="C116" i="7"/>
  <c r="G116" i="7" s="1"/>
  <c r="C114" i="7"/>
  <c r="G117" i="7"/>
  <c r="I117" i="7" s="1"/>
  <c r="I115" i="7"/>
  <c r="G118" i="7"/>
  <c r="I118" i="7" s="1"/>
  <c r="G110" i="7"/>
  <c r="I110" i="7" s="1"/>
  <c r="G109" i="7"/>
  <c r="I109" i="7" s="1"/>
  <c r="C107" i="7"/>
  <c r="C108" i="7"/>
  <c r="G108" i="7" s="1"/>
  <c r="H108" i="7" s="1"/>
  <c r="C115" i="7"/>
  <c r="H77" i="7"/>
  <c r="H76" i="7"/>
  <c r="H67" i="7"/>
  <c r="H44" i="7"/>
  <c r="H43" i="7"/>
  <c r="H80" i="6" l="1"/>
  <c r="H81" i="6"/>
  <c r="H79" i="6"/>
  <c r="H64" i="6"/>
  <c r="H63" i="6"/>
  <c r="H118" i="7"/>
  <c r="I116" i="7"/>
  <c r="H110" i="7"/>
  <c r="I108" i="7"/>
  <c r="H116" i="7"/>
  <c r="H109" i="7"/>
  <c r="H117" i="7"/>
  <c r="H68" i="7"/>
  <c r="H69" i="7"/>
  <c r="E90" i="7"/>
  <c r="E91" i="7" l="1"/>
  <c r="E83" i="7"/>
  <c r="F131" i="7"/>
  <c r="D88" i="7"/>
  <c r="D89" i="7" s="1"/>
  <c r="E121" i="7"/>
  <c r="E122" i="7" s="1"/>
  <c r="C88" i="7" l="1"/>
  <c r="C89" i="7" s="1"/>
  <c r="E123" i="7"/>
  <c r="D91" i="7"/>
  <c r="D90" i="7"/>
  <c r="G90" i="7" s="1"/>
  <c r="I90" i="7" s="1"/>
  <c r="D121" i="7"/>
  <c r="D122" i="7" s="1"/>
  <c r="E124" i="7"/>
  <c r="F45" i="8"/>
  <c r="F47" i="8" s="1"/>
  <c r="F48" i="8" s="1"/>
  <c r="F46" i="8" s="1"/>
  <c r="G59" i="8"/>
  <c r="G61" i="8" s="1"/>
  <c r="G62" i="8" s="1"/>
  <c r="G60" i="8" s="1"/>
  <c r="D59" i="8"/>
  <c r="D61" i="8" s="1"/>
  <c r="D62" i="8" s="1"/>
  <c r="C91" i="7" l="1"/>
  <c r="C90" i="7"/>
  <c r="G93" i="7"/>
  <c r="I93" i="7" s="1"/>
  <c r="G92" i="7"/>
  <c r="I92" i="7" s="1"/>
  <c r="D123" i="7"/>
  <c r="G123" i="7" s="1"/>
  <c r="I123" i="7" s="1"/>
  <c r="C121" i="7"/>
  <c r="C122" i="7" s="1"/>
  <c r="G91" i="7"/>
  <c r="I91" i="7" s="1"/>
  <c r="D124" i="7"/>
  <c r="D49" i="8"/>
  <c r="I70" i="8"/>
  <c r="G126" i="7" l="1"/>
  <c r="I126" i="7" s="1"/>
  <c r="G125" i="7"/>
  <c r="I125" i="7" s="1"/>
  <c r="H91" i="7"/>
  <c r="F52" i="8"/>
  <c r="F54" i="8" s="1"/>
  <c r="F55" i="8" s="1"/>
  <c r="H92" i="7" l="1"/>
  <c r="H93" i="7"/>
  <c r="D52" i="8"/>
  <c r="F49" i="8"/>
  <c r="D54" i="8" l="1"/>
  <c r="D55" i="8" s="1"/>
  <c r="D53" i="8"/>
  <c r="D70" i="8"/>
  <c r="C45" i="8"/>
  <c r="C47" i="8" s="1"/>
  <c r="C48" i="8" s="1"/>
  <c r="C46" i="8" s="1"/>
  <c r="J70" i="8"/>
  <c r="F53" i="8"/>
  <c r="D60" i="8"/>
  <c r="F59" i="8"/>
  <c r="F61" i="8" s="1"/>
  <c r="F62" i="8" s="1"/>
  <c r="F60" i="8" s="1"/>
  <c r="E67" i="6"/>
  <c r="E68" i="6" l="1"/>
  <c r="E69" i="6"/>
  <c r="E70" i="6"/>
  <c r="K47" i="8"/>
  <c r="G63" i="8"/>
  <c r="D63" i="8"/>
  <c r="D67" i="6"/>
  <c r="G56" i="8"/>
  <c r="F56" i="8"/>
  <c r="F66" i="8"/>
  <c r="D55" i="7"/>
  <c r="D56" i="7" s="1"/>
  <c r="F68" i="8" l="1"/>
  <c r="F69" i="8" s="1"/>
  <c r="F67" i="8" s="1"/>
  <c r="C49" i="8"/>
  <c r="D68" i="6"/>
  <c r="D70" i="6"/>
  <c r="D69" i="6"/>
  <c r="D58" i="7"/>
  <c r="D57" i="7"/>
  <c r="K48" i="8"/>
  <c r="F63" i="8"/>
  <c r="C59" i="8"/>
  <c r="C61" i="8" s="1"/>
  <c r="C62" i="8" s="1"/>
  <c r="C52" i="8"/>
  <c r="D56" i="8"/>
  <c r="H67" i="8"/>
  <c r="H70" i="8"/>
  <c r="G70" i="8"/>
  <c r="C66" i="8" l="1"/>
  <c r="C68" i="8" s="1"/>
  <c r="C69" i="8" s="1"/>
  <c r="C67" i="8" s="1"/>
  <c r="C53" i="8"/>
  <c r="C54" i="8"/>
  <c r="C55" i="8" s="1"/>
  <c r="F132" i="7"/>
  <c r="E96" i="7"/>
  <c r="E97" i="7" s="1"/>
  <c r="F87" i="6"/>
  <c r="D42" i="6"/>
  <c r="K54" i="8" l="1"/>
  <c r="L54" i="8" s="1"/>
  <c r="D43" i="6"/>
  <c r="D45" i="6"/>
  <c r="G45" i="6" s="1"/>
  <c r="D44" i="6"/>
  <c r="E99" i="7"/>
  <c r="E98" i="7"/>
  <c r="K61" i="8"/>
  <c r="L61" i="8" s="1"/>
  <c r="E129" i="7"/>
  <c r="K68" i="8"/>
  <c r="F70" i="8"/>
  <c r="C42" i="6"/>
  <c r="D37" i="6"/>
  <c r="G58" i="7"/>
  <c r="E100" i="7"/>
  <c r="D96" i="7"/>
  <c r="D97" i="7" s="1"/>
  <c r="C55" i="7"/>
  <c r="D59" i="7"/>
  <c r="E84" i="6"/>
  <c r="D51" i="6"/>
  <c r="D53" i="6" s="1"/>
  <c r="E54" i="6"/>
  <c r="E71" i="6"/>
  <c r="C34" i="6"/>
  <c r="D46" i="6"/>
  <c r="K69" i="8" l="1"/>
  <c r="C63" i="8"/>
  <c r="K63" i="8" s="1"/>
  <c r="L63" i="8" s="1"/>
  <c r="C60" i="8"/>
  <c r="K62" i="8"/>
  <c r="I58" i="7"/>
  <c r="G61" i="7"/>
  <c r="G60" i="7"/>
  <c r="I60" i="7" s="1"/>
  <c r="C57" i="7"/>
  <c r="C56" i="7"/>
  <c r="C35" i="6"/>
  <c r="C36" i="6"/>
  <c r="G36" i="6" s="1"/>
  <c r="I36" i="6" s="1"/>
  <c r="E85" i="6"/>
  <c r="E86" i="6"/>
  <c r="C43" i="6"/>
  <c r="C44" i="6"/>
  <c r="G44" i="6" s="1"/>
  <c r="I44" i="6" s="1"/>
  <c r="D52" i="6"/>
  <c r="C51" i="6"/>
  <c r="C53" i="6" s="1"/>
  <c r="E131" i="7"/>
  <c r="E130" i="7"/>
  <c r="D98" i="7"/>
  <c r="D99" i="7"/>
  <c r="G99" i="7" s="1"/>
  <c r="D129" i="7"/>
  <c r="D130" i="7" s="1"/>
  <c r="E132" i="7"/>
  <c r="K55" i="8"/>
  <c r="C56" i="8"/>
  <c r="K56" i="8" s="1"/>
  <c r="G50" i="7"/>
  <c r="I50" i="7" s="1"/>
  <c r="C46" i="6"/>
  <c r="C70" i="8"/>
  <c r="L68" i="8"/>
  <c r="E87" i="6"/>
  <c r="I61" i="7"/>
  <c r="D84" i="6"/>
  <c r="G47" i="6"/>
  <c r="I47" i="6" s="1"/>
  <c r="G48" i="6"/>
  <c r="I48" i="6" s="1"/>
  <c r="D100" i="7"/>
  <c r="C96" i="7"/>
  <c r="G57" i="7"/>
  <c r="I57" i="7" s="1"/>
  <c r="C59" i="7"/>
  <c r="G59" i="7" s="1"/>
  <c r="G70" i="6"/>
  <c r="D54" i="6"/>
  <c r="C67" i="6"/>
  <c r="C69" i="6" s="1"/>
  <c r="D71" i="6"/>
  <c r="G46" i="6"/>
  <c r="I45" i="6"/>
  <c r="C37" i="6"/>
  <c r="G37" i="6" s="1"/>
  <c r="C98" i="7" l="1"/>
  <c r="C97" i="7"/>
  <c r="D85" i="6"/>
  <c r="D86" i="6"/>
  <c r="G86" i="6" s="1"/>
  <c r="C68" i="6"/>
  <c r="C52" i="6"/>
  <c r="G38" i="6"/>
  <c r="I38" i="6" s="1"/>
  <c r="G102" i="7"/>
  <c r="I102" i="7" s="1"/>
  <c r="G101" i="7"/>
  <c r="I101" i="7" s="1"/>
  <c r="D132" i="7"/>
  <c r="D131" i="7"/>
  <c r="G131" i="7" s="1"/>
  <c r="C83" i="7"/>
  <c r="G83" i="7" s="1"/>
  <c r="C82" i="7"/>
  <c r="C129" i="7"/>
  <c r="C130" i="7" s="1"/>
  <c r="G39" i="6"/>
  <c r="I39" i="6" s="1"/>
  <c r="G53" i="6"/>
  <c r="D87" i="6"/>
  <c r="C84" i="6"/>
  <c r="G69" i="6"/>
  <c r="I69" i="6" s="1"/>
  <c r="C54" i="6"/>
  <c r="G54" i="6" s="1"/>
  <c r="I54" i="6" s="1"/>
  <c r="I70" i="6"/>
  <c r="G72" i="6"/>
  <c r="I72" i="6" s="1"/>
  <c r="G73" i="6"/>
  <c r="I73" i="6" s="1"/>
  <c r="I99" i="7"/>
  <c r="G98" i="7"/>
  <c r="I98" i="7" s="1"/>
  <c r="C100" i="7"/>
  <c r="G100" i="7" s="1"/>
  <c r="H59" i="7"/>
  <c r="H60" i="7"/>
  <c r="H58" i="7"/>
  <c r="H57" i="7"/>
  <c r="H61" i="7"/>
  <c r="I59" i="7"/>
  <c r="C71" i="6"/>
  <c r="G71" i="6" s="1"/>
  <c r="I71" i="6" s="1"/>
  <c r="H37" i="6"/>
  <c r="H38" i="6"/>
  <c r="I37" i="6"/>
  <c r="H46" i="6"/>
  <c r="H47" i="6"/>
  <c r="H45" i="6"/>
  <c r="H44" i="6"/>
  <c r="H48" i="6"/>
  <c r="I46" i="6"/>
  <c r="C86" i="6" l="1"/>
  <c r="C85" i="6"/>
  <c r="H39" i="6"/>
  <c r="G134" i="7"/>
  <c r="I134" i="7" s="1"/>
  <c r="G133" i="7"/>
  <c r="I133" i="7" s="1"/>
  <c r="C131" i="7"/>
  <c r="C132" i="7"/>
  <c r="G132" i="7" s="1"/>
  <c r="I132" i="7" s="1"/>
  <c r="C123" i="7"/>
  <c r="C124" i="7"/>
  <c r="G124" i="7" s="1"/>
  <c r="I124" i="7" s="1"/>
  <c r="I85" i="7"/>
  <c r="I82" i="7"/>
  <c r="I84" i="7"/>
  <c r="H83" i="7"/>
  <c r="I83" i="7"/>
  <c r="G56" i="6"/>
  <c r="I56" i="6" s="1"/>
  <c r="I53" i="6"/>
  <c r="G55" i="6"/>
  <c r="I55" i="6" s="1"/>
  <c r="C87" i="6"/>
  <c r="G87" i="6" s="1"/>
  <c r="I87" i="6" s="1"/>
  <c r="H71" i="6"/>
  <c r="H69" i="6"/>
  <c r="H73" i="6"/>
  <c r="H54" i="6"/>
  <c r="H70" i="6"/>
  <c r="H101" i="7"/>
  <c r="H102" i="7"/>
  <c r="H98" i="7"/>
  <c r="I100" i="7"/>
  <c r="H99" i="7"/>
  <c r="H100" i="7"/>
  <c r="H72" i="6"/>
  <c r="H132" i="7" l="1"/>
  <c r="H85" i="7"/>
  <c r="I131" i="7"/>
  <c r="H124" i="7"/>
  <c r="H84" i="7"/>
  <c r="H56" i="6"/>
  <c r="H55" i="6"/>
  <c r="G88" i="6"/>
  <c r="I88" i="6" s="1"/>
  <c r="G89" i="6"/>
  <c r="I89" i="6" s="1"/>
  <c r="I86" i="6"/>
  <c r="H87" i="6"/>
  <c r="H125" i="7" l="1"/>
  <c r="H134" i="7"/>
  <c r="H126" i="7"/>
  <c r="H133" i="7"/>
  <c r="H89" i="6"/>
  <c r="H88" i="6"/>
  <c r="L47" i="8" l="1"/>
  <c r="L56" i="8" l="1"/>
  <c r="K70" i="8" l="1"/>
  <c r="L70" i="8" l="1"/>
  <c r="K49" i="8"/>
  <c r="L49" i="8" s="1"/>
  <c r="H51" i="7" l="1"/>
  <c r="I51" i="7"/>
  <c r="H50" i="7"/>
  <c r="I49" i="7"/>
  <c r="I52" i="7" l="1"/>
  <c r="H52" i="7"/>
</calcChain>
</file>

<file path=xl/sharedStrings.xml><?xml version="1.0" encoding="utf-8"?>
<sst xmlns="http://schemas.openxmlformats.org/spreadsheetml/2006/main" count="555" uniqueCount="139">
  <si>
    <t>копья 1</t>
  </si>
  <si>
    <t>всадники 1</t>
  </si>
  <si>
    <t>здоровье войска:</t>
  </si>
  <si>
    <t>всадники 2</t>
  </si>
  <si>
    <t>Рекомендации для новичков:</t>
  </si>
  <si>
    <t>- для набора ОД ходите Эйдой. Других кэпов посылайте только если хотите их прокачать.</t>
  </si>
  <si>
    <t>- перед выходом надевайте на кэпа боевой (синий) шмот, желательно с чарами на силу конницы или силу всего войска.</t>
  </si>
  <si>
    <t>- перед выходом включите у себя ВИП на 1 час и бонусы на 1 час: ОД, ХР, к силе войска, скорость марша. Запасаться этими бонусами надо заранее. Ссылка на получение ежедневных бонусов в самом низу.</t>
  </si>
  <si>
    <t>- не восстанавливать войска за золото. Восстанавливайте за зелье если есть большой запас. Создавайте новое за серебро на ускорах и при помощи соклановцев.</t>
  </si>
  <si>
    <t>- если при заготовке войска еда начинает гореть красным (потребление превышает производство), то цена на создание войска увеличивается. Избежать этого можно включив бонус к производству еды в городе за сутки до планируемого похода на эпика. Этот бонус есть среди ежедневных от сообщества (вторая половина вторника – первая половина среды).</t>
  </si>
  <si>
    <r>
      <t>№1 копья1 и конница1 – использовать на самом начальном уровне,</t>
    </r>
    <r>
      <rPr>
        <sz val="11"/>
        <color theme="1"/>
        <rFont val="Calibri"/>
        <family val="2"/>
        <charset val="204"/>
        <scheme val="minor"/>
      </rPr>
      <t xml:space="preserve"> когда не открыта конница2. Что бы как можно быстрее собрать ОД и открыть конницу2. Так как копья заведомо будут трупами без получения опыта, и они нужны что бы конница не попала под раздачу если эпик атакует первым. В этой тактике зарабатывает только конница – убивает рассчитанный минимум некромантов. С включенными бонусами и одетым шмотом будет больше убито некромантов и соответственно больше получено опыта.</t>
    </r>
  </si>
  <si>
    <t>Все ежедневные бонусы:</t>
  </si>
  <si>
    <t>https://totalbattle.su/podarki-ot-soobshchestva/</t>
  </si>
  <si>
    <t>себестоимость</t>
  </si>
  <si>
    <t>всего рейсов</t>
  </si>
  <si>
    <t>всего за серию</t>
  </si>
  <si>
    <t>всего за рейс</t>
  </si>
  <si>
    <t>юниты (шт.):</t>
  </si>
  <si>
    <t>стоимость копья1</t>
  </si>
  <si>
    <t>стоимость всадники1</t>
  </si>
  <si>
    <t>стоимость всадники2</t>
  </si>
  <si>
    <t>посмотреть в столице - технологии - союзники</t>
  </si>
  <si>
    <t>посмотреть у себя - академия - модернизация войск</t>
  </si>
  <si>
    <t>влючить у себя на 1 час</t>
  </si>
  <si>
    <t>при одевании на персонажа там пишется</t>
  </si>
  <si>
    <t>посмотреть у себя и не забыть включить</t>
  </si>
  <si>
    <t>сколько раз планируешь сходить</t>
  </si>
  <si>
    <t>посмотреть у себя сместив ползунок до 1шт</t>
  </si>
  <si>
    <t>тактика №2</t>
  </si>
  <si>
    <t>убитых монстров:</t>
  </si>
  <si>
    <t>тактика №1 (начальная)</t>
  </si>
  <si>
    <t>расход серебра (тыс.):</t>
  </si>
  <si>
    <t>стоимость всадники3</t>
  </si>
  <si>
    <t>всадники 3</t>
  </si>
  <si>
    <t>ОД (тыс.) минимум:</t>
  </si>
  <si>
    <t>ХР (тыс.) минимум:</t>
  </si>
  <si>
    <t>тактика №5</t>
  </si>
  <si>
    <t>тактика №4</t>
  </si>
  <si>
    <t>тактика №3</t>
  </si>
  <si>
    <t>посмотреть в талантах главного героя</t>
  </si>
  <si>
    <t>В формуле еще считается минимум трупов некромантов на СД и надзирателей на Армагеддон за поход. А так же считается себестоимость погибших монстров. Есть расчет минимума ОД и ХР, и их себестоимость для ориентира максимальной эффективности.</t>
  </si>
  <si>
    <t>посмотреть у себя - бонусы - королевские</t>
  </si>
  <si>
    <t>посмотреть у себя - бонусы - клановые</t>
  </si>
  <si>
    <t>Прочитать все внимательно! Формула нужна что бы каждый поход на эпика приносил максимум ОД и ХР.</t>
  </si>
  <si>
    <r>
      <t>Во вкладке с калькулятором заполнить синие поля. Самое важное - вставить лидерство капитана на СД или Главного героя на Армагеддон, а также % навыков здоровья конницы и пехоты.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</si>
  <si>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В цветных клетках с тактиками ничего не трогать – считает формула!</t>
  </si>
  <si>
    <t>Копья можно заменить на стрелы или мечников, но только полным числом как посчитано формулой и с учетом их % навыков здоровья.</t>
  </si>
  <si>
    <t>- заранее заготовьте серебра и войска (особенно конница 2 и 3) что бы за час действия бонусов сходить как можно больше раз.</t>
  </si>
  <si>
    <t>- не идти на эпика если там уже нет самых слабых монстров II ждите пока добьют этого и идите на свежего. На Судный день и Армагеддон самый слабый монстр стрелок – на него надо идти конницей.</t>
  </si>
  <si>
    <r>
      <t xml:space="preserve">- ВАЖНО ходить серией. После 2-3 заходов (в зависимости от силы войск и уровня персонажей) вы проходите первую ступень турнира. Как на турнирном ярлыке загорится красная единичка, </t>
    </r>
    <r>
      <rPr>
        <b/>
        <sz val="11"/>
        <color theme="1"/>
        <rFont val="Calibri"/>
        <family val="2"/>
        <charset val="204"/>
        <scheme val="minor"/>
      </rPr>
      <t>необходимо сразу зайти туда и получить бонус 25% к ХР на 1 час</t>
    </r>
    <r>
      <rPr>
        <sz val="11"/>
        <color theme="1"/>
        <rFont val="Calibri"/>
        <family val="2"/>
        <charset val="204"/>
        <scheme val="minor"/>
      </rPr>
      <t>. И дальше продолжать серию походов получая еще больше опыта.</t>
    </r>
  </si>
  <si>
    <t>- если используете тактики с копьями (или стрелами), то лучше всего идти при наличии у эпика всего комплекта монстров. Так у копейщиков и стрелков при 1,5-2тыс. шт. есть шанс завалить одного своего монстра.</t>
  </si>
  <si>
    <t>- если в серии используете тактику только коней, то не меняйте количество войск после апа уровня идущего персонажа. Замечено что после изменения количества войск как правило эпик атакует первым.</t>
  </si>
  <si>
    <t>При выборе войска в атаку на эпика, выставляете число конницы1 из расчетной таблицы. Не ползунком, а цифрами с клавиатуры в соответствующее окошко в приложении игры. Число копий1 выставляете ползунком на максимум – получится число из расчетной таблицы.</t>
  </si>
  <si>
    <r>
      <t>№2 конница1 и конница2 – лучшая тактика для начала полноценной прокачки</t>
    </r>
    <r>
      <rPr>
        <sz val="11"/>
        <color theme="1"/>
        <rFont val="Calibri"/>
        <family val="2"/>
        <charset val="204"/>
        <scheme val="minor"/>
      </rPr>
      <t>. Конница1 в половине случаев просто гибнет, когда первым атакует эпик. И в половине случаев атакует первой и получает опыт (по этому в расчете две строчки с убитыми монстрами). Конница2 в каждом походе делает трупы и приносит опыт. В итоге за серию по затратам серебра в 1,5 раза выгоднее чем тактика №1. Но требуется больше времени (или ускоров) на подготовку конницы2.</t>
    </r>
  </si>
  <si>
    <r>
      <t>При выборе войска в атаку на эпика, выставляете число конницы2 из расчетной таблицы.</t>
    </r>
    <r>
      <rPr>
        <sz val="11"/>
        <color rgb="FF00B05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Не ползунком, а цифрами с клавиатуры в соответствующее окошко в приложении игры. Число конницы1 выставляете ползунком на максимум – получится число из расчетной таблицы.</t>
    </r>
  </si>
  <si>
    <r>
      <t>№3 копья1, конница1 и конница2 – стабильная альтернатива тактике №2.</t>
    </r>
    <r>
      <rPr>
        <sz val="11"/>
        <color theme="1"/>
        <rFont val="Calibri"/>
        <family val="2"/>
        <charset val="204"/>
        <scheme val="minor"/>
      </rPr>
      <t xml:space="preserve"> Копья просто гибнут и служат подставой если первым атакует эпик. Обе конницы стабильно приносят ОД и ХР</t>
    </r>
  </si>
  <si>
    <r>
      <t>№4 аналогична №2 но с добавлением конницы 3 – самый лучший вариант по себестоимости</t>
    </r>
    <r>
      <rPr>
        <sz val="11"/>
        <color theme="1"/>
        <rFont val="Calibri"/>
        <family val="2"/>
        <charset val="204"/>
        <scheme val="minor"/>
      </rPr>
      <t xml:space="preserve"> даже если эпик начинает атаку первым!</t>
    </r>
  </si>
  <si>
    <r>
      <t>№5 аналогична №3 но с добавлением конницы 3</t>
    </r>
    <r>
      <rPr>
        <sz val="11"/>
        <color theme="1"/>
        <rFont val="Calibri"/>
        <family val="2"/>
        <charset val="204"/>
        <scheme val="minor"/>
      </rPr>
      <t>.</t>
    </r>
  </si>
  <si>
    <t>До похода на эпика потренируйтесь в выборе войска примериваясь к любому свободному ресурснику. Идти при этом на ресурс не обязательно) Потренируете вашу скорость выбора войска что бы за 1 час действия бонусов больше сходить на эпика и меньше суетиться. Заодно удостоверитесь в корректности чисел и работе формулы.</t>
  </si>
  <si>
    <t>Обязательно убедитесь, что здоровье войска (красные ячейки) в первой колонке больше остальных – именно они примут первый удар в случае начала атаки эпиком.</t>
  </si>
  <si>
    <t>- запасите зелье восстановления хотя бы для кэпов.</t>
  </si>
  <si>
    <t>лидерство капитана</t>
  </si>
  <si>
    <t>лидерство главного героя</t>
  </si>
  <si>
    <t xml:space="preserve">ВАЖНО: В одетой броне не должно быть чар и камней на здоровье конницы. Лучше поставить на силу всадников или силу всего войска. </t>
  </si>
  <si>
    <t>Из-за различных особенностей игры количество убитых монстров может немного отличаться от расчетных значений. Но это не страшно. Главное точность расчета войск.</t>
  </si>
  <si>
    <t>навык здоровья пехоты личный (%)</t>
  </si>
  <si>
    <t>навык здоровья наездников личный (%)</t>
  </si>
  <si>
    <t>навык здоровья пехоты клановый (%)</t>
  </si>
  <si>
    <t>навык здоровья наездников клановый (%)</t>
  </si>
  <si>
    <t>бонус к силе войска личный (%)</t>
  </si>
  <si>
    <t>бонус к силе войска клановый (%)</t>
  </si>
  <si>
    <t>сила гвардейцев от ВИП (%)</t>
  </si>
  <si>
    <t>Бонус "быстрее выше сильнее" (%)</t>
  </si>
  <si>
    <t>бонус ОД (%)</t>
  </si>
  <si>
    <t>бонус ХР (%)</t>
  </si>
  <si>
    <t>сила гвардейцев в талантах (%)</t>
  </si>
  <si>
    <t>сила войска в навыках (%)</t>
  </si>
  <si>
    <t>сила наездников в навыках (%)</t>
  </si>
  <si>
    <t>сила наездников в клане (%)</t>
  </si>
  <si>
    <t>сила гвардейцев у Эйды (%)</t>
  </si>
  <si>
    <t>общее лидерство</t>
  </si>
  <si>
    <t>посмотреть в ее описании</t>
  </si>
  <si>
    <t>копья 2</t>
  </si>
  <si>
    <t>бонус ОЗ (%)</t>
  </si>
  <si>
    <t>сила пехоты в навыках (%)</t>
  </si>
  <si>
    <t>сила пехоты в клане (%)</t>
  </si>
  <si>
    <t>сила стрелков в навыках (%)</t>
  </si>
  <si>
    <t>сила стрелков в клане (%)</t>
  </si>
  <si>
    <t>навык здоровья стрелков личный (%)</t>
  </si>
  <si>
    <t>навык здоровья стрелков клановый (%)</t>
  </si>
  <si>
    <t>лучники 2</t>
  </si>
  <si>
    <t>лучники 3</t>
  </si>
  <si>
    <t>лучники 1</t>
  </si>
  <si>
    <t>стоимость копья2</t>
  </si>
  <si>
    <t>стоимость лучники2</t>
  </si>
  <si>
    <t>стоимость лучники3</t>
  </si>
  <si>
    <t>копья 3</t>
  </si>
  <si>
    <t>стоимость копья3</t>
  </si>
  <si>
    <t>навык силы пехоты личный (%)</t>
  </si>
  <si>
    <t>навык силы наездников личный (%)</t>
  </si>
  <si>
    <t>навык силы всего войска личный (%)</t>
  </si>
  <si>
    <t>сила гвардейцев Эйда (%)</t>
  </si>
  <si>
    <t>стоимость лучники1</t>
  </si>
  <si>
    <t>поставить 0 если идет другой капитан</t>
  </si>
  <si>
    <t>бонус "быстрее выше сильнее" (%)</t>
  </si>
  <si>
    <t>сила конницы от чар и камней в броне (%)</t>
  </si>
  <si>
    <t>ПРИМЕЧАНИЕ:</t>
  </si>
  <si>
    <t>в черные клетки вручную поставить планируемое количество убитых монстров лучниками</t>
  </si>
  <si>
    <t>от 0 до 2 так как противник довольно живучий</t>
  </si>
  <si>
    <t>Тактики на Судный день и Армагеддон по формуле:</t>
  </si>
  <si>
    <t>Количество необходимых войск в каждой тактике посчитано формулой и  прописано в белой строке – юниты (шт)!</t>
  </si>
  <si>
    <t>На эпика в Судный День, Армагеддон и Вторжение теней!</t>
  </si>
  <si>
    <t>Калькулятор войск на Судный день</t>
  </si>
  <si>
    <t>Калькулятор войск на Армагеддон</t>
  </si>
  <si>
    <t>Калькулятор войск на Вторжение теней</t>
  </si>
  <si>
    <t>сила гвардейцев в экиперовке (%)</t>
  </si>
  <si>
    <t>сила наездников в экиперовке (%)</t>
  </si>
  <si>
    <t>тактика №3.1</t>
  </si>
  <si>
    <t>тактика №3.2</t>
  </si>
  <si>
    <t>Подготовлено кланом ЩИТ ИМПЕРИИ Координаты столицы K:66 X:600 Y:766</t>
  </si>
  <si>
    <t>навык силы стрелков личный (%)</t>
  </si>
  <si>
    <t>тактика №1.1 (начальная)</t>
  </si>
  <si>
    <t>тактика №1.2 (начальная)</t>
  </si>
  <si>
    <t>тактика №3.3</t>
  </si>
  <si>
    <t>тактика №3.4</t>
  </si>
  <si>
    <t>тактика №5.3</t>
  </si>
  <si>
    <t>тактика №5.4</t>
  </si>
  <si>
    <t>тактика №5.1</t>
  </si>
  <si>
    <t>тактика №5.2</t>
  </si>
  <si>
    <t>навык здоровья всего войска (%)</t>
  </si>
  <si>
    <t>бонус здоровья войска личный (%)</t>
  </si>
  <si>
    <t>бонус здоровья войска клановый (%)</t>
  </si>
  <si>
    <t>вдруг если включен у вас</t>
  </si>
  <si>
    <t>вдруг если включен в клане</t>
  </si>
  <si>
    <t>Премиум "Великий маршал" (%)</t>
  </si>
  <si>
    <t>если у вас куплен и активирован поставить 25</t>
  </si>
  <si>
    <t>здоровье гвардейцев в талантах (%)</t>
  </si>
  <si>
    <t>посмотреть у себя - очки талантов - боевая тактика</t>
  </si>
  <si>
    <t>сила гвардейцев в броне (%) суммарно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</si>
</sst>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4" fillId="0" borderId="0" xfId="0" applyFont="1"/>
    <xf numFmtId="0" fontId="0" fillId="0" borderId="1" xfId="0" applyBorder="1"/>
    <xf numFmtId="0" fontId="0" fillId="3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2" borderId="1" xfId="0" applyFill="1" applyBorder="1"/>
    <xf numFmtId="0" fontId="7" fillId="8" borderId="1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3" borderId="4" xfId="0" applyFill="1" applyBorder="1"/>
    <xf numFmtId="0" fontId="7" fillId="10" borderId="2" xfId="0" applyFont="1" applyFill="1" applyBorder="1"/>
    <xf numFmtId="0" fontId="0" fillId="0" borderId="3" xfId="0" applyBorder="1"/>
    <xf numFmtId="0" fontId="0" fillId="0" borderId="0" xfId="0" applyFill="1" applyBorder="1"/>
    <xf numFmtId="0" fontId="8" fillId="0" borderId="0" xfId="0" applyFont="1"/>
    <xf numFmtId="0" fontId="9" fillId="0" borderId="0" xfId="0" applyFont="1"/>
    <xf numFmtId="0" fontId="0" fillId="11" borderId="0" xfId="0" applyFill="1"/>
    <xf numFmtId="0" fontId="0" fillId="11" borderId="1" xfId="0" applyFill="1" applyBorder="1"/>
    <xf numFmtId="0" fontId="0" fillId="12" borderId="1" xfId="0" applyFill="1" applyBorder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3" borderId="5" xfId="0" applyFill="1" applyBorder="1"/>
    <xf numFmtId="0" fontId="0" fillId="3" borderId="2" xfId="0" applyFill="1" applyBorder="1"/>
    <xf numFmtId="0" fontId="4" fillId="3" borderId="3" xfId="0" applyFont="1" applyFill="1" applyBorder="1"/>
    <xf numFmtId="0" fontId="0" fillId="3" borderId="0" xfId="0" applyFill="1" applyBorder="1"/>
    <xf numFmtId="0" fontId="0" fillId="0" borderId="1" xfId="0" applyFill="1" applyBorder="1"/>
    <xf numFmtId="0" fontId="7" fillId="13" borderId="1" xfId="0" applyFont="1" applyFill="1" applyBorder="1"/>
    <xf numFmtId="0" fontId="0" fillId="3" borderId="7" xfId="0" applyFill="1" applyBorder="1"/>
    <xf numFmtId="0" fontId="0" fillId="3" borderId="3" xfId="0" applyFill="1" applyBorder="1"/>
    <xf numFmtId="0" fontId="0" fillId="14" borderId="1" xfId="0" applyFill="1" applyBorder="1"/>
    <xf numFmtId="0" fontId="4" fillId="9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3" fillId="4" borderId="0" xfId="0" applyFont="1" applyFill="1"/>
    <xf numFmtId="0" fontId="2" fillId="0" borderId="0" xfId="0" applyFont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4" borderId="0" xfId="0" applyFill="1"/>
    <xf numFmtId="0" fontId="14" fillId="0" borderId="0" xfId="0" applyFont="1"/>
    <xf numFmtId="0" fontId="4" fillId="7" borderId="6" xfId="0" applyFont="1" applyFill="1" applyBorder="1"/>
    <xf numFmtId="0" fontId="0" fillId="15" borderId="1" xfId="0" applyFill="1" applyBorder="1"/>
    <xf numFmtId="0" fontId="0" fillId="2" borderId="0" xfId="0" applyFill="1"/>
    <xf numFmtId="0" fontId="0" fillId="3" borderId="0" xfId="0" applyFill="1"/>
    <xf numFmtId="0" fontId="7" fillId="7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otalbattle.su/podarki-ot-soobshchest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Normal="100" workbookViewId="0"/>
  </sheetViews>
  <sheetFormatPr defaultRowHeight="15" x14ac:dyDescent="0.25"/>
  <cols>
    <col min="1" max="1" width="72.5703125" customWidth="1"/>
  </cols>
  <sheetData>
    <row r="1" spans="1:1" x14ac:dyDescent="0.25">
      <c r="A1" s="44" t="s">
        <v>119</v>
      </c>
    </row>
    <row r="2" spans="1:1" x14ac:dyDescent="0.25">
      <c r="A2" s="5" t="s">
        <v>111</v>
      </c>
    </row>
    <row r="3" spans="1:1" ht="30" x14ac:dyDescent="0.25">
      <c r="A3" s="45" t="s">
        <v>43</v>
      </c>
    </row>
    <row r="4" spans="1:1" ht="45" x14ac:dyDescent="0.25">
      <c r="A4" s="27" t="s">
        <v>44</v>
      </c>
    </row>
    <row r="5" spans="1:1" x14ac:dyDescent="0.25">
      <c r="A5" s="26" t="s">
        <v>45</v>
      </c>
    </row>
    <row r="6" spans="1:1" ht="30" x14ac:dyDescent="0.25">
      <c r="A6" s="28" t="s">
        <v>63</v>
      </c>
    </row>
    <row r="7" spans="1:1" ht="30" x14ac:dyDescent="0.25">
      <c r="A7" s="45" t="s">
        <v>46</v>
      </c>
    </row>
    <row r="8" spans="1:1" ht="60" x14ac:dyDescent="0.25">
      <c r="A8" s="45" t="s">
        <v>40</v>
      </c>
    </row>
    <row r="9" spans="1:1" ht="45" x14ac:dyDescent="0.25">
      <c r="A9" s="46" t="s">
        <v>64</v>
      </c>
    </row>
    <row r="10" spans="1:1" ht="30" x14ac:dyDescent="0.25">
      <c r="A10" s="47" t="s">
        <v>110</v>
      </c>
    </row>
    <row r="11" spans="1:1" x14ac:dyDescent="0.25">
      <c r="A11" s="45"/>
    </row>
    <row r="12" spans="1:1" x14ac:dyDescent="0.25">
      <c r="A12" s="32" t="s">
        <v>4</v>
      </c>
    </row>
    <row r="13" spans="1:1" ht="30" x14ac:dyDescent="0.25">
      <c r="A13" s="45" t="s">
        <v>47</v>
      </c>
    </row>
    <row r="14" spans="1:1" x14ac:dyDescent="0.25">
      <c r="A14" s="45" t="s">
        <v>60</v>
      </c>
    </row>
    <row r="15" spans="1:1" ht="45" x14ac:dyDescent="0.25">
      <c r="A15" s="45" t="s">
        <v>48</v>
      </c>
    </row>
    <row r="16" spans="1:1" ht="30" x14ac:dyDescent="0.25">
      <c r="A16" s="45" t="s">
        <v>5</v>
      </c>
    </row>
    <row r="17" spans="1:1" ht="30" x14ac:dyDescent="0.25">
      <c r="A17" s="45" t="s">
        <v>6</v>
      </c>
    </row>
    <row r="18" spans="1:1" ht="45" x14ac:dyDescent="0.25">
      <c r="A18" s="45" t="s">
        <v>7</v>
      </c>
    </row>
    <row r="19" spans="1:1" ht="75" x14ac:dyDescent="0.25">
      <c r="A19" s="45" t="s">
        <v>49</v>
      </c>
    </row>
    <row r="20" spans="1:1" ht="45" x14ac:dyDescent="0.25">
      <c r="A20" s="45" t="s">
        <v>50</v>
      </c>
    </row>
    <row r="21" spans="1:1" ht="45" x14ac:dyDescent="0.25">
      <c r="A21" s="45" t="s">
        <v>51</v>
      </c>
    </row>
    <row r="22" spans="1:1" ht="45" x14ac:dyDescent="0.25">
      <c r="A22" s="45" t="s">
        <v>8</v>
      </c>
    </row>
    <row r="23" spans="1:1" ht="75" x14ac:dyDescent="0.25">
      <c r="A23" s="45" t="s">
        <v>9</v>
      </c>
    </row>
    <row r="24" spans="1:1" x14ac:dyDescent="0.25">
      <c r="A24" s="45"/>
    </row>
    <row r="25" spans="1:1" x14ac:dyDescent="0.25">
      <c r="A25" s="31" t="s">
        <v>109</v>
      </c>
    </row>
    <row r="26" spans="1:1" ht="120" x14ac:dyDescent="0.25">
      <c r="A26" s="26" t="s">
        <v>10</v>
      </c>
    </row>
    <row r="27" spans="1:1" ht="60" x14ac:dyDescent="0.25">
      <c r="A27" s="45" t="s">
        <v>52</v>
      </c>
    </row>
    <row r="28" spans="1:1" ht="105" x14ac:dyDescent="0.25">
      <c r="A28" s="26" t="s">
        <v>53</v>
      </c>
    </row>
    <row r="29" spans="1:1" ht="75" x14ac:dyDescent="0.25">
      <c r="A29" s="45" t="s">
        <v>54</v>
      </c>
    </row>
    <row r="30" spans="1:1" ht="45" x14ac:dyDescent="0.25">
      <c r="A30" s="26" t="s">
        <v>55</v>
      </c>
    </row>
    <row r="31" spans="1:1" ht="30" x14ac:dyDescent="0.25">
      <c r="A31" s="26" t="s">
        <v>56</v>
      </c>
    </row>
    <row r="32" spans="1:1" x14ac:dyDescent="0.25">
      <c r="A32" s="26" t="s">
        <v>57</v>
      </c>
    </row>
    <row r="33" spans="1:1" x14ac:dyDescent="0.25">
      <c r="A33" s="45"/>
    </row>
    <row r="34" spans="1:1" ht="75" x14ac:dyDescent="0.25">
      <c r="A34" s="29" t="s">
        <v>58</v>
      </c>
    </row>
    <row r="35" spans="1:1" ht="45" x14ac:dyDescent="0.25">
      <c r="A35" s="28" t="s">
        <v>59</v>
      </c>
    </row>
    <row r="36" spans="1:1" x14ac:dyDescent="0.25">
      <c r="A36" s="45" t="s">
        <v>11</v>
      </c>
    </row>
    <row r="37" spans="1:1" x14ac:dyDescent="0.25">
      <c r="A37" s="30" t="s">
        <v>12</v>
      </c>
    </row>
  </sheetData>
  <hyperlinks>
    <hyperlink ref="A37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" zoomScale="90" zoomScaleNormal="90" workbookViewId="0">
      <selection activeCell="B31" sqref="B31"/>
    </sheetView>
  </sheetViews>
  <sheetFormatPr defaultRowHeight="15" x14ac:dyDescent="0.25"/>
  <cols>
    <col min="1" max="1" width="39.28515625" customWidth="1"/>
    <col min="2" max="2" width="20.85546875" customWidth="1"/>
    <col min="3" max="6" width="11.5703125" customWidth="1"/>
    <col min="7" max="7" width="13.85546875" customWidth="1"/>
    <col min="8" max="8" width="15.140625" customWidth="1"/>
    <col min="9" max="9" width="14.7109375" customWidth="1"/>
  </cols>
  <sheetData>
    <row r="1" spans="1:3" x14ac:dyDescent="0.25">
      <c r="A1" s="42" t="s">
        <v>112</v>
      </c>
    </row>
    <row r="3" spans="1:3" x14ac:dyDescent="0.25">
      <c r="A3" s="10" t="s">
        <v>129</v>
      </c>
      <c r="B3" s="7">
        <v>3</v>
      </c>
      <c r="C3" t="s">
        <v>22</v>
      </c>
    </row>
    <row r="4" spans="1:3" x14ac:dyDescent="0.25">
      <c r="A4" s="10" t="s">
        <v>65</v>
      </c>
      <c r="B4" s="7">
        <v>0</v>
      </c>
      <c r="C4" t="s">
        <v>22</v>
      </c>
    </row>
    <row r="5" spans="1:3" x14ac:dyDescent="0.25">
      <c r="A5" s="10" t="s">
        <v>66</v>
      </c>
      <c r="B5" s="7">
        <v>0</v>
      </c>
      <c r="C5" t="s">
        <v>22</v>
      </c>
    </row>
    <row r="6" spans="1:3" x14ac:dyDescent="0.25">
      <c r="A6" s="10" t="s">
        <v>67</v>
      </c>
      <c r="B6" s="7">
        <v>4</v>
      </c>
      <c r="C6" t="s">
        <v>21</v>
      </c>
    </row>
    <row r="7" spans="1:3" x14ac:dyDescent="0.25">
      <c r="A7" s="10" t="s">
        <v>68</v>
      </c>
      <c r="B7" s="7">
        <v>7</v>
      </c>
      <c r="C7" t="s">
        <v>21</v>
      </c>
    </row>
    <row r="8" spans="1:3" x14ac:dyDescent="0.25">
      <c r="A8" s="10" t="s">
        <v>130</v>
      </c>
      <c r="B8" s="7">
        <v>0</v>
      </c>
      <c r="C8" s="49" t="s">
        <v>132</v>
      </c>
    </row>
    <row r="9" spans="1:3" x14ac:dyDescent="0.25">
      <c r="A9" s="10" t="s">
        <v>131</v>
      </c>
      <c r="B9" s="7">
        <v>0</v>
      </c>
      <c r="C9" s="49" t="s">
        <v>133</v>
      </c>
    </row>
    <row r="10" spans="1:3" x14ac:dyDescent="0.25">
      <c r="A10" s="6" t="s">
        <v>18</v>
      </c>
      <c r="B10" s="7">
        <v>271</v>
      </c>
      <c r="C10" s="19" t="s">
        <v>27</v>
      </c>
    </row>
    <row r="11" spans="1:3" x14ac:dyDescent="0.25">
      <c r="A11" s="6" t="s">
        <v>93</v>
      </c>
      <c r="B11" s="7">
        <v>452</v>
      </c>
      <c r="C11" s="19" t="s">
        <v>27</v>
      </c>
    </row>
    <row r="12" spans="1:3" x14ac:dyDescent="0.25">
      <c r="A12" s="6" t="s">
        <v>97</v>
      </c>
      <c r="B12" s="7">
        <v>633</v>
      </c>
      <c r="C12" s="19" t="s">
        <v>27</v>
      </c>
    </row>
    <row r="13" spans="1:3" x14ac:dyDescent="0.25">
      <c r="A13" s="6" t="s">
        <v>19</v>
      </c>
      <c r="B13" s="7">
        <v>542</v>
      </c>
      <c r="C13" s="19" t="s">
        <v>27</v>
      </c>
    </row>
    <row r="14" spans="1:3" x14ac:dyDescent="0.25">
      <c r="A14" s="6" t="s">
        <v>20</v>
      </c>
      <c r="B14" s="7">
        <v>904</v>
      </c>
      <c r="C14" s="19" t="s">
        <v>27</v>
      </c>
    </row>
    <row r="15" spans="1:3" ht="15.75" thickBot="1" x14ac:dyDescent="0.3">
      <c r="A15" s="6" t="s">
        <v>32</v>
      </c>
      <c r="B15" s="33">
        <v>1260</v>
      </c>
      <c r="C15" s="19" t="s">
        <v>27</v>
      </c>
    </row>
    <row r="16" spans="1:3" ht="15.75" thickBot="1" x14ac:dyDescent="0.3">
      <c r="A16" s="50" t="s">
        <v>14</v>
      </c>
      <c r="B16" s="34">
        <v>5</v>
      </c>
      <c r="C16" s="5" t="s">
        <v>26</v>
      </c>
    </row>
    <row r="17" spans="1:3" x14ac:dyDescent="0.25">
      <c r="A17" s="6" t="s">
        <v>98</v>
      </c>
      <c r="B17" s="36">
        <v>3</v>
      </c>
      <c r="C17" t="s">
        <v>22</v>
      </c>
    </row>
    <row r="18" spans="1:3" x14ac:dyDescent="0.25">
      <c r="A18" s="6" t="s">
        <v>99</v>
      </c>
      <c r="B18" s="40">
        <v>17</v>
      </c>
      <c r="C18" t="s">
        <v>22</v>
      </c>
    </row>
    <row r="19" spans="1:3" x14ac:dyDescent="0.25">
      <c r="A19" s="6" t="s">
        <v>100</v>
      </c>
      <c r="B19" s="40">
        <v>19</v>
      </c>
      <c r="C19" t="s">
        <v>22</v>
      </c>
    </row>
    <row r="20" spans="1:3" x14ac:dyDescent="0.25">
      <c r="A20" s="6" t="s">
        <v>115</v>
      </c>
      <c r="B20" s="40">
        <v>9</v>
      </c>
      <c r="C20" t="s">
        <v>24</v>
      </c>
    </row>
    <row r="21" spans="1:3" x14ac:dyDescent="0.25">
      <c r="A21" s="6" t="s">
        <v>116</v>
      </c>
      <c r="B21" s="40">
        <v>7</v>
      </c>
      <c r="C21" t="s">
        <v>24</v>
      </c>
    </row>
    <row r="22" spans="1:3" x14ac:dyDescent="0.25">
      <c r="A22" s="51" t="s">
        <v>69</v>
      </c>
      <c r="B22" s="7">
        <v>25</v>
      </c>
      <c r="C22" s="25" t="s">
        <v>23</v>
      </c>
    </row>
    <row r="23" spans="1:3" x14ac:dyDescent="0.25">
      <c r="A23" s="51" t="s">
        <v>70</v>
      </c>
      <c r="B23" s="7">
        <v>0</v>
      </c>
      <c r="C23" s="24" t="s">
        <v>42</v>
      </c>
    </row>
    <row r="24" spans="1:3" x14ac:dyDescent="0.25">
      <c r="A24" s="51" t="s">
        <v>71</v>
      </c>
      <c r="B24" s="7">
        <v>3.5</v>
      </c>
      <c r="C24" s="25" t="s">
        <v>25</v>
      </c>
    </row>
    <row r="25" spans="1:3" x14ac:dyDescent="0.25">
      <c r="A25" s="51" t="s">
        <v>101</v>
      </c>
      <c r="B25" s="7">
        <v>44</v>
      </c>
      <c r="C25" s="5" t="s">
        <v>103</v>
      </c>
    </row>
    <row r="26" spans="1:3" x14ac:dyDescent="0.25">
      <c r="A26" s="51" t="s">
        <v>104</v>
      </c>
      <c r="B26" s="7">
        <v>25</v>
      </c>
      <c r="C26" s="24" t="s">
        <v>41</v>
      </c>
    </row>
    <row r="27" spans="1:3" x14ac:dyDescent="0.25">
      <c r="A27" s="51" t="s">
        <v>134</v>
      </c>
      <c r="B27" s="7">
        <v>0</v>
      </c>
      <c r="C27" s="24" t="s">
        <v>135</v>
      </c>
    </row>
    <row r="28" spans="1:3" x14ac:dyDescent="0.25">
      <c r="A28" s="51" t="s">
        <v>73</v>
      </c>
      <c r="B28" s="7">
        <v>100</v>
      </c>
      <c r="C28" s="25" t="s">
        <v>23</v>
      </c>
    </row>
    <row r="29" spans="1:3" x14ac:dyDescent="0.25">
      <c r="A29" s="51" t="s">
        <v>74</v>
      </c>
      <c r="B29" s="7">
        <v>100</v>
      </c>
      <c r="C29" s="25" t="s">
        <v>23</v>
      </c>
    </row>
    <row r="30" spans="1:3" ht="15.75" thickBot="1" x14ac:dyDescent="0.3">
      <c r="A30" s="17"/>
      <c r="B30" s="18"/>
    </row>
    <row r="31" spans="1:3" ht="15.75" thickBot="1" x14ac:dyDescent="0.3">
      <c r="A31" s="35" t="s">
        <v>61</v>
      </c>
      <c r="B31" s="16">
        <v>2000</v>
      </c>
    </row>
    <row r="32" spans="1:3" x14ac:dyDescent="0.25">
      <c r="A32" s="2"/>
      <c r="B32" s="2"/>
    </row>
    <row r="33" spans="1:10" x14ac:dyDescent="0.25">
      <c r="A33" s="4" t="s">
        <v>30</v>
      </c>
      <c r="B33" s="8"/>
      <c r="C33" s="8" t="s">
        <v>0</v>
      </c>
      <c r="D33" s="8" t="s">
        <v>1</v>
      </c>
      <c r="E33" s="8"/>
      <c r="F33" s="8"/>
      <c r="G33" s="8" t="s">
        <v>16</v>
      </c>
      <c r="H33" s="8" t="s">
        <v>13</v>
      </c>
      <c r="I33" s="8" t="s">
        <v>15</v>
      </c>
    </row>
    <row r="34" spans="1:10" x14ac:dyDescent="0.25">
      <c r="A34" s="4"/>
      <c r="B34" s="37" t="s">
        <v>17</v>
      </c>
      <c r="C34" s="9">
        <f>ROUNDUP((B31-2*D34),0)</f>
        <v>1018</v>
      </c>
      <c r="D34" s="9">
        <f>ROUNDDOWN((B31/4-1-B31*(B7+B5-B6-B4)/840),0)</f>
        <v>491</v>
      </c>
      <c r="E34" s="8"/>
      <c r="F34" s="8"/>
      <c r="G34" s="8"/>
      <c r="H34" s="8"/>
      <c r="I34" s="8"/>
    </row>
    <row r="35" spans="1:10" x14ac:dyDescent="0.25">
      <c r="A35" s="4"/>
      <c r="B35" s="10" t="s">
        <v>2</v>
      </c>
      <c r="C35" s="10">
        <f>((B3+B8+B9+B20+B25+B27+B6+B4)/100+1)*PRODUCT(C34,150)</f>
        <v>244320</v>
      </c>
      <c r="D35" s="10">
        <f>((B3+B8+B9+B20+B25+B27+B7+B5)/100+1)*PRODUCT(D34,300)</f>
        <v>240098.99999999997</v>
      </c>
      <c r="E35" s="8"/>
      <c r="F35" s="8"/>
      <c r="G35" s="8"/>
      <c r="H35" s="8"/>
      <c r="I35" s="8"/>
    </row>
    <row r="36" spans="1:10" x14ac:dyDescent="0.25">
      <c r="A36" s="4"/>
      <c r="B36" s="8" t="s">
        <v>29</v>
      </c>
      <c r="C36" s="13">
        <f>ROUNDDOWN(((B17+B19+B20+B22+B23+B24+B25+B26+B27)/100+1)*1.39*0.77*PRODUCT(C34,50)/171000,0)</f>
        <v>0</v>
      </c>
      <c r="D36" s="8">
        <f>ROUNDDOWN(((B18+B19+B20+B21+B22+B23+B24+B25+B26+B27)/100+1)*1.65*0.76*PRODUCT(D34,100)/2160,0)</f>
        <v>71</v>
      </c>
      <c r="E36" s="8"/>
      <c r="F36" s="8"/>
      <c r="G36" s="8">
        <f>SUM(C36:E36)</f>
        <v>71</v>
      </c>
      <c r="H36" s="8"/>
      <c r="I36" s="8">
        <f>G36*B16</f>
        <v>355</v>
      </c>
    </row>
    <row r="37" spans="1:10" x14ac:dyDescent="0.25">
      <c r="A37" s="4"/>
      <c r="B37" s="41" t="s">
        <v>31</v>
      </c>
      <c r="C37" s="41">
        <f>C34*B10/1000</f>
        <v>275.87799999999999</v>
      </c>
      <c r="D37" s="41">
        <f>D34*B13/1000</f>
        <v>266.12200000000001</v>
      </c>
      <c r="E37" s="41"/>
      <c r="F37" s="41"/>
      <c r="G37" s="41">
        <f>SUM(C37:D37)</f>
        <v>542</v>
      </c>
      <c r="H37" s="11">
        <f>G37/G36</f>
        <v>7.6338028169014081</v>
      </c>
      <c r="I37" s="41">
        <f>B16*G37</f>
        <v>2710</v>
      </c>
    </row>
    <row r="38" spans="1:10" x14ac:dyDescent="0.25">
      <c r="A38" s="4"/>
      <c r="B38" s="8" t="s">
        <v>34</v>
      </c>
      <c r="C38" s="8"/>
      <c r="D38" s="8"/>
      <c r="E38" s="8"/>
      <c r="F38" s="8"/>
      <c r="G38" s="8">
        <f>(2160*G36/2+2160*G36*B28/200)/1000</f>
        <v>153.36000000000001</v>
      </c>
      <c r="H38" s="8">
        <f>G37/G38</f>
        <v>3.534167970787689</v>
      </c>
      <c r="I38" s="8">
        <f>B16*G38</f>
        <v>766.80000000000007</v>
      </c>
    </row>
    <row r="39" spans="1:10" x14ac:dyDescent="0.25">
      <c r="A39" s="4"/>
      <c r="B39" s="8" t="s">
        <v>35</v>
      </c>
      <c r="C39" s="8"/>
      <c r="D39" s="8"/>
      <c r="E39" s="8"/>
      <c r="F39" s="8"/>
      <c r="G39" s="8">
        <f>(2160*G36+2160*G36*B29/100)/1000</f>
        <v>306.72000000000003</v>
      </c>
      <c r="H39" s="8">
        <f>G37/G39</f>
        <v>1.7670839853938445</v>
      </c>
      <c r="I39" s="8">
        <f>B16*G39</f>
        <v>1533.6000000000001</v>
      </c>
    </row>
    <row r="40" spans="1:10" x14ac:dyDescent="0.25">
      <c r="B40" s="2"/>
      <c r="C40" s="2"/>
      <c r="D40" s="2"/>
      <c r="E40" s="2"/>
      <c r="F40" s="2"/>
      <c r="G40" s="2"/>
      <c r="H40" s="2"/>
      <c r="I40" s="2"/>
    </row>
    <row r="41" spans="1:10" x14ac:dyDescent="0.25">
      <c r="A41" s="1" t="s">
        <v>28</v>
      </c>
      <c r="B41" s="12"/>
      <c r="C41" s="12" t="s">
        <v>1</v>
      </c>
      <c r="D41" s="12" t="s">
        <v>3</v>
      </c>
      <c r="E41" s="12"/>
      <c r="F41" s="12"/>
      <c r="G41" s="12" t="s">
        <v>16</v>
      </c>
      <c r="H41" s="12" t="s">
        <v>13</v>
      </c>
      <c r="I41" s="12" t="s">
        <v>15</v>
      </c>
    </row>
    <row r="42" spans="1:10" x14ac:dyDescent="0.25">
      <c r="A42" s="1"/>
      <c r="B42" s="37" t="s">
        <v>17</v>
      </c>
      <c r="C42" s="9">
        <f>SUM(ROUNDDOWN(B31/2,0),-D42)</f>
        <v>644</v>
      </c>
      <c r="D42" s="9">
        <f>ROUNDDOWN(PRODUCT(B31,0.1785)-1,0)</f>
        <v>356</v>
      </c>
      <c r="E42" s="12"/>
      <c r="F42" s="12"/>
      <c r="G42" s="12"/>
      <c r="H42" s="12"/>
      <c r="I42" s="12"/>
    </row>
    <row r="43" spans="1:10" x14ac:dyDescent="0.25">
      <c r="A43" s="1"/>
      <c r="B43" s="10" t="s">
        <v>2</v>
      </c>
      <c r="C43" s="10">
        <f>((B3+B8+B9+B20+B25+B27+B7+B5)/100+1)*PRODUCT(C42,300)</f>
        <v>314916</v>
      </c>
      <c r="D43" s="10">
        <f>((B3+B8+B9+B20+B25+B27+B7+B5)/100+1)*PRODUCT(D42,540)</f>
        <v>313351.19999999995</v>
      </c>
      <c r="E43" s="12"/>
      <c r="F43" s="12"/>
      <c r="G43" s="12"/>
      <c r="H43" s="12"/>
      <c r="I43" s="12"/>
    </row>
    <row r="44" spans="1:10" x14ac:dyDescent="0.25">
      <c r="A44" s="1"/>
      <c r="B44" s="12" t="s">
        <v>29</v>
      </c>
      <c r="C44" s="12">
        <f>ROUNDDOWN(((B18+B19+B20+B21+B22+B23+B24+B25+B26+B27)/100+1)*1.65*0.76*PRODUCT(C42,100)/2160,0)</f>
        <v>93</v>
      </c>
      <c r="D44" s="12">
        <f>ROUNDDOWN(((B18+B19+B20+B21+B22+B23+B24+B25+B26+B27)/100+1)*1.98*0.695*PRODUCT(D42,180)/2160,0)</f>
        <v>101</v>
      </c>
      <c r="E44" s="12"/>
      <c r="F44" s="12"/>
      <c r="G44" s="13">
        <f>C44+D44</f>
        <v>194</v>
      </c>
      <c r="H44" s="23">
        <f>G46/G44</f>
        <v>3.4581030927835057</v>
      </c>
      <c r="I44" s="12">
        <f>G44*B16</f>
        <v>970</v>
      </c>
    </row>
    <row r="45" spans="1:10" x14ac:dyDescent="0.25">
      <c r="A45" s="1"/>
      <c r="B45" s="12" t="s">
        <v>29</v>
      </c>
      <c r="C45" s="13">
        <v>0</v>
      </c>
      <c r="D45" s="12">
        <f>ROUNDDOWN(((B18+B19+B20+B21+B22+B23+B24+B25+B26+B27)/100+1)*1.98*0.695*PRODUCT(D42,180)/2160,0)</f>
        <v>101</v>
      </c>
      <c r="E45" s="12"/>
      <c r="F45" s="12"/>
      <c r="G45" s="13">
        <f>C45+D45</f>
        <v>101</v>
      </c>
      <c r="H45" s="23">
        <f>G46/G45</f>
        <v>6.6422970297029709</v>
      </c>
      <c r="I45" s="12">
        <f>G45*B16</f>
        <v>505</v>
      </c>
    </row>
    <row r="46" spans="1:10" x14ac:dyDescent="0.25">
      <c r="A46" s="1"/>
      <c r="B46" s="41" t="s">
        <v>31</v>
      </c>
      <c r="C46" s="41">
        <f>C42*B13/1000</f>
        <v>349.048</v>
      </c>
      <c r="D46" s="41">
        <f>D42*B14/1000</f>
        <v>321.82400000000001</v>
      </c>
      <c r="E46" s="41"/>
      <c r="F46" s="41"/>
      <c r="G46" s="41">
        <f>SUM(C46:D46)</f>
        <v>670.87200000000007</v>
      </c>
      <c r="H46" s="11">
        <f>G46/(0.5*C44+D44)</f>
        <v>4.5482847457627127</v>
      </c>
      <c r="I46" s="41">
        <f>B16*G46</f>
        <v>3354.3600000000006</v>
      </c>
    </row>
    <row r="47" spans="1:10" x14ac:dyDescent="0.25">
      <c r="A47" s="1"/>
      <c r="B47" s="12" t="s">
        <v>34</v>
      </c>
      <c r="C47" s="12"/>
      <c r="D47" s="12"/>
      <c r="E47" s="12"/>
      <c r="F47" s="12"/>
      <c r="G47" s="12">
        <f>(2160*G45/2+2160*G45*B28/200)/1000</f>
        <v>218.16</v>
      </c>
      <c r="H47" s="12">
        <f>G46/G47</f>
        <v>3.0751375137513755</v>
      </c>
      <c r="I47" s="12">
        <f>B16*G47</f>
        <v>1090.8</v>
      </c>
    </row>
    <row r="48" spans="1:10" x14ac:dyDescent="0.25">
      <c r="A48" s="1"/>
      <c r="B48" s="12" t="s">
        <v>35</v>
      </c>
      <c r="C48" s="12"/>
      <c r="D48" s="12"/>
      <c r="E48" s="12"/>
      <c r="F48" s="12"/>
      <c r="G48" s="12">
        <f>(2160*G45+2160*G45*B29/100)/1000</f>
        <v>436.32</v>
      </c>
      <c r="H48" s="12">
        <f>G46/G48</f>
        <v>1.5375687568756877</v>
      </c>
      <c r="I48" s="12">
        <f>B16*G48</f>
        <v>2181.6</v>
      </c>
      <c r="J48" s="2"/>
    </row>
    <row r="50" spans="1:9" x14ac:dyDescent="0.25">
      <c r="A50" s="3" t="s">
        <v>117</v>
      </c>
      <c r="B50" s="14"/>
      <c r="C50" s="14" t="s">
        <v>0</v>
      </c>
      <c r="D50" s="14" t="s">
        <v>1</v>
      </c>
      <c r="E50" s="14" t="s">
        <v>3</v>
      </c>
      <c r="F50" s="14"/>
      <c r="G50" s="14" t="s">
        <v>16</v>
      </c>
      <c r="H50" s="14" t="s">
        <v>13</v>
      </c>
      <c r="I50" s="14" t="s">
        <v>15</v>
      </c>
    </row>
    <row r="51" spans="1:9" x14ac:dyDescent="0.25">
      <c r="A51" s="3"/>
      <c r="B51" s="37" t="s">
        <v>17</v>
      </c>
      <c r="C51" s="9">
        <f>ROUNDUP((B31-2*D51-2*E51),0)</f>
        <v>816</v>
      </c>
      <c r="D51" s="9">
        <f>ROUNDDOWN((1.8*E51-1),0)</f>
        <v>380</v>
      </c>
      <c r="E51" s="9">
        <f>ROUNDDOWN((B31/9.2-2-B31*(B7+B5-B6-B4)/2400),0)</f>
        <v>212</v>
      </c>
      <c r="F51" s="9"/>
      <c r="G51" s="14"/>
      <c r="H51" s="14"/>
      <c r="I51" s="14"/>
    </row>
    <row r="52" spans="1:9" x14ac:dyDescent="0.25">
      <c r="A52" s="3"/>
      <c r="B52" s="10" t="s">
        <v>2</v>
      </c>
      <c r="C52" s="10">
        <f>((B3+B8+B9+B20+B25+B27+B6+B4)/100+1)*PRODUCT(C51,150)</f>
        <v>195840</v>
      </c>
      <c r="D52" s="10">
        <f>((B3+B8+B9+B20+B25+B27+B7+B5)/100+1)*PRODUCT(D51,300)</f>
        <v>185820</v>
      </c>
      <c r="E52" s="10">
        <f>((B3+B8+B9+B20+B25+B27+B7+B5)/100+1)*PRODUCT(E51,540)</f>
        <v>186602.4</v>
      </c>
      <c r="F52" s="10"/>
      <c r="G52" s="14"/>
      <c r="H52" s="14"/>
      <c r="I52" s="14"/>
    </row>
    <row r="53" spans="1:9" x14ac:dyDescent="0.25">
      <c r="A53" s="3"/>
      <c r="B53" s="14" t="s">
        <v>29</v>
      </c>
      <c r="C53" s="13">
        <f>ROUNDDOWN(((B17+B19+B20+B22+B23+B24+B25+B26+B27)/100+1)*1.39*0.77*PRODUCT(C51,50)/171000,0)</f>
        <v>0</v>
      </c>
      <c r="D53" s="14">
        <f>ROUNDDOWN(((B18+B19+B20+B21+B22+B23+B24+B25+B26+B27)/100+1)*1.65*0.76*PRODUCT(D51,100)/2160,0)</f>
        <v>55</v>
      </c>
      <c r="E53" s="14">
        <f>ROUNDDOWN(((B18+B19+B20+B21+B22+B23+B24+B25+B26+B27)/100+1)*1.98*0.695*PRODUCT(E51,180)/2160,0)</f>
        <v>60</v>
      </c>
      <c r="F53" s="14"/>
      <c r="G53" s="14">
        <f>SUM(C53:E53)</f>
        <v>115</v>
      </c>
      <c r="H53" s="14"/>
      <c r="I53" s="14">
        <f>G53*B16</f>
        <v>575</v>
      </c>
    </row>
    <row r="54" spans="1:9" x14ac:dyDescent="0.25">
      <c r="A54" s="3"/>
      <c r="B54" s="41" t="s">
        <v>31</v>
      </c>
      <c r="C54" s="41">
        <f>C51*B10/1000</f>
        <v>221.136</v>
      </c>
      <c r="D54" s="41">
        <f>D51*B13/1000</f>
        <v>205.96</v>
      </c>
      <c r="E54" s="41">
        <f>E51*B14/1000</f>
        <v>191.648</v>
      </c>
      <c r="F54" s="41"/>
      <c r="G54" s="41">
        <f>SUM(C54:E54)</f>
        <v>618.74400000000003</v>
      </c>
      <c r="H54" s="11">
        <f>G54/G53</f>
        <v>5.3803826086956521</v>
      </c>
      <c r="I54" s="41">
        <f>B16*G54</f>
        <v>3093.7200000000003</v>
      </c>
    </row>
    <row r="55" spans="1:9" x14ac:dyDescent="0.25">
      <c r="A55" s="3"/>
      <c r="B55" s="14" t="s">
        <v>34</v>
      </c>
      <c r="C55" s="14"/>
      <c r="D55" s="14"/>
      <c r="E55" s="14"/>
      <c r="F55" s="14"/>
      <c r="G55" s="14">
        <f>(2160*G53/2+2160*G53*B28/200)/1000</f>
        <v>248.4</v>
      </c>
      <c r="H55" s="14">
        <f>G54/G55</f>
        <v>2.4909178743961351</v>
      </c>
      <c r="I55" s="14">
        <f>B16*G55</f>
        <v>1242</v>
      </c>
    </row>
    <row r="56" spans="1:9" x14ac:dyDescent="0.25">
      <c r="A56" s="3"/>
      <c r="B56" s="14" t="s">
        <v>35</v>
      </c>
      <c r="C56" s="14"/>
      <c r="D56" s="14"/>
      <c r="E56" s="14"/>
      <c r="F56" s="14"/>
      <c r="G56" s="14">
        <f>(2160*G53+2160*G53*B29/100)/1000</f>
        <v>496.8</v>
      </c>
      <c r="H56" s="14">
        <f>G54/G56</f>
        <v>1.2454589371980676</v>
      </c>
      <c r="I56" s="14">
        <f>B16*G56</f>
        <v>2484</v>
      </c>
    </row>
    <row r="58" spans="1:9" x14ac:dyDescent="0.25">
      <c r="A58" s="3" t="s">
        <v>118</v>
      </c>
      <c r="B58" s="14"/>
      <c r="C58" s="14" t="s">
        <v>82</v>
      </c>
      <c r="D58" s="14" t="s">
        <v>1</v>
      </c>
      <c r="E58" s="14" t="s">
        <v>3</v>
      </c>
      <c r="F58" s="14"/>
      <c r="G58" s="14" t="s">
        <v>16</v>
      </c>
      <c r="H58" s="14" t="s">
        <v>13</v>
      </c>
      <c r="I58" s="14" t="s">
        <v>15</v>
      </c>
    </row>
    <row r="59" spans="1:9" x14ac:dyDescent="0.25">
      <c r="A59" s="3"/>
      <c r="B59" s="37" t="s">
        <v>17</v>
      </c>
      <c r="C59" s="9">
        <f>ROUNDUP((B31-2*D59-2*E59),0)</f>
        <v>546</v>
      </c>
      <c r="D59" s="9">
        <f>ROUNDDOWN((1.8*E59-1),0)</f>
        <v>467</v>
      </c>
      <c r="E59" s="9">
        <f>ROUNDDOWN((B31/7.55-2-B31*(B7+B5-B6-B4)/2400),0)</f>
        <v>260</v>
      </c>
      <c r="F59" s="9"/>
      <c r="G59" s="14"/>
      <c r="H59" s="14"/>
      <c r="I59" s="14"/>
    </row>
    <row r="60" spans="1:9" x14ac:dyDescent="0.25">
      <c r="A60" s="3"/>
      <c r="B60" s="10" t="s">
        <v>2</v>
      </c>
      <c r="C60" s="10">
        <f>((B3+B8+B9+B20+B25+B27+B6+B4)/100+1)*PRODUCT(C59,270)</f>
        <v>235872</v>
      </c>
      <c r="D60" s="10">
        <f>((B3+B8+B9+B20+B25+B27+B7+B5)/100+1)*PRODUCT(D59,300)</f>
        <v>228362.99999999997</v>
      </c>
      <c r="E60" s="10">
        <f>((B3+B8+B9+B20+B25+B27+B7+B5)/100+1)*PRODUCT(E59,540)</f>
        <v>228851.99999999997</v>
      </c>
      <c r="F60" s="10"/>
      <c r="G60" s="14"/>
      <c r="H60" s="14"/>
      <c r="I60" s="14"/>
    </row>
    <row r="61" spans="1:9" x14ac:dyDescent="0.25">
      <c r="A61" s="3"/>
      <c r="B61" s="14" t="s">
        <v>29</v>
      </c>
      <c r="C61" s="13">
        <f>ROUNDDOWN(((B17+B19+B20+B22+B23+B24+B25+B26+B27)/100+1)*1.59*0.77*PRODUCT(C59,90)/171000,0)</f>
        <v>0</v>
      </c>
      <c r="D61" s="14">
        <f>ROUNDDOWN(((B18+B19+B20+B21+B22+B23+B24+B25+B26+B27)/100+1)*1.65*0.76*PRODUCT(D59,100)/2160,0)</f>
        <v>67</v>
      </c>
      <c r="E61" s="14">
        <f>ROUNDDOWN(((B18+B19+B20+B21+B22+B23+B24+B25+B26+B27)/100+1)*1.98*0.695*PRODUCT(E59,180)/2160,0)</f>
        <v>74</v>
      </c>
      <c r="F61" s="14"/>
      <c r="G61" s="14">
        <f>SUM(C61:E61)</f>
        <v>141</v>
      </c>
      <c r="H61" s="14"/>
      <c r="I61" s="14">
        <f>G61*B16</f>
        <v>705</v>
      </c>
    </row>
    <row r="62" spans="1:9" x14ac:dyDescent="0.25">
      <c r="A62" s="3"/>
      <c r="B62" s="41" t="s">
        <v>31</v>
      </c>
      <c r="C62" s="41">
        <f>C59*B11/1000</f>
        <v>246.792</v>
      </c>
      <c r="D62" s="41">
        <f>D59*B13/1000</f>
        <v>253.114</v>
      </c>
      <c r="E62" s="41">
        <f>E59*B14/1000</f>
        <v>235.04</v>
      </c>
      <c r="F62" s="41"/>
      <c r="G62" s="41">
        <f>SUM(C62:E62)</f>
        <v>734.94600000000003</v>
      </c>
      <c r="H62" s="11">
        <f>G62/G61</f>
        <v>5.2123829787234044</v>
      </c>
      <c r="I62" s="41">
        <f>B16*G62</f>
        <v>3674.73</v>
      </c>
    </row>
    <row r="63" spans="1:9" x14ac:dyDescent="0.25">
      <c r="A63" s="3"/>
      <c r="B63" s="14" t="s">
        <v>34</v>
      </c>
      <c r="C63" s="14"/>
      <c r="D63" s="14"/>
      <c r="E63" s="14"/>
      <c r="F63" s="14"/>
      <c r="G63" s="14">
        <f>(2160*G61/2+2160*G61*B28/200)/1000</f>
        <v>304.56</v>
      </c>
      <c r="H63" s="14">
        <f>G62/G63</f>
        <v>2.4131402679275022</v>
      </c>
      <c r="I63" s="14">
        <f>B16*G63</f>
        <v>1522.8</v>
      </c>
    </row>
    <row r="64" spans="1:9" x14ac:dyDescent="0.25">
      <c r="A64" s="3"/>
      <c r="B64" s="14" t="s">
        <v>35</v>
      </c>
      <c r="C64" s="14"/>
      <c r="D64" s="14"/>
      <c r="E64" s="14"/>
      <c r="F64" s="14"/>
      <c r="G64" s="14">
        <f>(2160*G61+2160*G61*B29/100)/1000</f>
        <v>609.12</v>
      </c>
      <c r="H64" s="14">
        <f>G62/G64</f>
        <v>1.2065701339637511</v>
      </c>
      <c r="I64" s="14">
        <f>B16*G64</f>
        <v>3045.6</v>
      </c>
    </row>
    <row r="66" spans="1:9" x14ac:dyDescent="0.25">
      <c r="A66" s="1" t="s">
        <v>37</v>
      </c>
      <c r="B66" s="12"/>
      <c r="C66" s="12" t="s">
        <v>1</v>
      </c>
      <c r="D66" s="12" t="s">
        <v>3</v>
      </c>
      <c r="E66" s="12" t="s">
        <v>33</v>
      </c>
      <c r="F66" s="12"/>
      <c r="G66" s="12" t="s">
        <v>16</v>
      </c>
      <c r="H66" s="12" t="s">
        <v>13</v>
      </c>
      <c r="I66" s="12" t="s">
        <v>15</v>
      </c>
    </row>
    <row r="67" spans="1:9" x14ac:dyDescent="0.25">
      <c r="A67" s="1"/>
      <c r="B67" s="37" t="s">
        <v>17</v>
      </c>
      <c r="C67" s="9">
        <f>ROUNDDOWN(B31/2,0)-D67-E67</f>
        <v>541</v>
      </c>
      <c r="D67" s="9">
        <f>ROUNDDOWN((1.77*E67),0)</f>
        <v>293</v>
      </c>
      <c r="E67" s="9">
        <f>ROUNDDOWN((B31/11.9-B31*(B7+B5-B6-B4)/5500),0)</f>
        <v>166</v>
      </c>
      <c r="F67" s="12"/>
      <c r="G67" s="12"/>
      <c r="H67" s="12"/>
      <c r="I67" s="12"/>
    </row>
    <row r="68" spans="1:9" x14ac:dyDescent="0.25">
      <c r="A68" s="1"/>
      <c r="B68" s="10" t="s">
        <v>2</v>
      </c>
      <c r="C68" s="10">
        <f>((B3+B8+B9+B20+B25+B27+B7+B5)/100+1)*PRODUCT(C67,300)</f>
        <v>264549</v>
      </c>
      <c r="D68" s="10">
        <f>((B3+B8+B9+B20+B25+B27+B7+B5)/100+1)*PRODUCT(D67,540)</f>
        <v>257898.59999999998</v>
      </c>
      <c r="E68" s="10">
        <f>((B3+B8+B9+B20+B25+B27+B7+B5)/100+1)*PRODUCT(E67,960)</f>
        <v>259756.79999999999</v>
      </c>
      <c r="F68" s="12"/>
      <c r="G68" s="12"/>
      <c r="H68" s="12"/>
      <c r="I68" s="12"/>
    </row>
    <row r="69" spans="1:9" x14ac:dyDescent="0.25">
      <c r="A69" s="1"/>
      <c r="B69" s="12" t="s">
        <v>29</v>
      </c>
      <c r="C69" s="12">
        <f>ROUNDDOWN(((B18+B19+B20+B21+B22+B23+B24+B25+B26+B27)/100+1)*1.65*0.76*PRODUCT(C67,100)/2160,0)</f>
        <v>78</v>
      </c>
      <c r="D69" s="12">
        <f>ROUNDDOWN(((B18+B19+B20+B21+B22+B23+B24+B25+B26+B27)/100+1)*1.98*0.695*PRODUCT(D67,180)/2160,0)</f>
        <v>83</v>
      </c>
      <c r="E69" s="12">
        <f>ROUNDDOWN(((B18+B19+B20+B21+B22+B23+B24+B25+B26+B27)/100+1)*2.46*0.7*PRODUCT(E67,320)/2160,0)</f>
        <v>105</v>
      </c>
      <c r="F69" s="12"/>
      <c r="G69" s="13">
        <f>C69+D69+E69</f>
        <v>266</v>
      </c>
      <c r="H69" s="23">
        <f>G71/G69</f>
        <v>2.8844135338345867</v>
      </c>
      <c r="I69" s="12">
        <f>G69*B16</f>
        <v>1330</v>
      </c>
    </row>
    <row r="70" spans="1:9" x14ac:dyDescent="0.25">
      <c r="A70" s="1"/>
      <c r="B70" s="12" t="s">
        <v>29</v>
      </c>
      <c r="C70" s="13">
        <v>0</v>
      </c>
      <c r="D70" s="12">
        <f>ROUNDDOWN(((B18+B19+B20+B21+B22+B23+B24+B25+B26+B27)/100+1)*1.98*0.695*PRODUCT(D67,180)/2160,0)</f>
        <v>83</v>
      </c>
      <c r="E70" s="12">
        <f>ROUNDDOWN(((B18+B19+B20+B21+B22+B23+B24+B25+B26+B27)/100+1)*2.46*0.7*PRODUCT(E67,320)/2160,0)</f>
        <v>105</v>
      </c>
      <c r="F70" s="12"/>
      <c r="G70" s="13">
        <f>C70+D70+E70</f>
        <v>188</v>
      </c>
      <c r="H70" s="23">
        <f>G71/G70</f>
        <v>4.0811382978723403</v>
      </c>
      <c r="I70" s="12">
        <f>G70*B16</f>
        <v>940</v>
      </c>
    </row>
    <row r="71" spans="1:9" x14ac:dyDescent="0.25">
      <c r="A71" s="1"/>
      <c r="B71" s="41" t="s">
        <v>31</v>
      </c>
      <c r="C71" s="41">
        <f>C67*B13/1000</f>
        <v>293.22199999999998</v>
      </c>
      <c r="D71" s="41">
        <f>D67*B14/1000</f>
        <v>264.87200000000001</v>
      </c>
      <c r="E71" s="41">
        <f>E67*B15/1000</f>
        <v>209.16</v>
      </c>
      <c r="F71" s="41"/>
      <c r="G71" s="41">
        <f>SUM(C71:E71)</f>
        <v>767.25400000000002</v>
      </c>
      <c r="H71" s="11">
        <f>G71/(0.5*C69+D69+E69)</f>
        <v>3.3799735682819385</v>
      </c>
      <c r="I71" s="41">
        <f>B16*G71</f>
        <v>3836.27</v>
      </c>
    </row>
    <row r="72" spans="1:9" x14ac:dyDescent="0.25">
      <c r="A72" s="1"/>
      <c r="B72" s="12" t="s">
        <v>34</v>
      </c>
      <c r="C72" s="12"/>
      <c r="D72" s="12"/>
      <c r="E72" s="12"/>
      <c r="F72" s="12"/>
      <c r="G72" s="12">
        <f>(2160*G70/2+2160*G70*B28/200)/1000</f>
        <v>406.08</v>
      </c>
      <c r="H72" s="12">
        <f>G71/G72</f>
        <v>1.8894158786446023</v>
      </c>
      <c r="I72" s="12">
        <f>B16*G72</f>
        <v>2030.3999999999999</v>
      </c>
    </row>
    <row r="73" spans="1:9" x14ac:dyDescent="0.25">
      <c r="A73" s="1"/>
      <c r="B73" s="12" t="s">
        <v>35</v>
      </c>
      <c r="C73" s="12"/>
      <c r="D73" s="12"/>
      <c r="E73" s="12"/>
      <c r="F73" s="12"/>
      <c r="G73" s="12">
        <f>(2160*G70+2160*G70*B29/100)/1000</f>
        <v>812.16</v>
      </c>
      <c r="H73" s="12">
        <f>G71/G73</f>
        <v>0.94470793932230113</v>
      </c>
      <c r="I73" s="12">
        <f>B16*G73</f>
        <v>4060.7999999999997</v>
      </c>
    </row>
    <row r="75" spans="1:9" x14ac:dyDescent="0.25">
      <c r="A75" s="21" t="s">
        <v>127</v>
      </c>
      <c r="B75" s="22"/>
      <c r="C75" s="22" t="s">
        <v>82</v>
      </c>
      <c r="D75" s="22" t="s">
        <v>1</v>
      </c>
      <c r="E75" s="22" t="s">
        <v>3</v>
      </c>
      <c r="F75" s="22" t="s">
        <v>33</v>
      </c>
      <c r="G75" s="22" t="s">
        <v>16</v>
      </c>
      <c r="H75" s="22" t="s">
        <v>13</v>
      </c>
      <c r="I75" s="22" t="s">
        <v>15</v>
      </c>
    </row>
    <row r="76" spans="1:9" x14ac:dyDescent="0.25">
      <c r="A76" s="21"/>
      <c r="B76" s="37" t="s">
        <v>17</v>
      </c>
      <c r="C76" s="9">
        <f>ROUNDUP((B31-2*D76-2*E76-2*F76),0)</f>
        <v>482</v>
      </c>
      <c r="D76" s="9">
        <f>ROUNDDOWN((1.8*E76),0)</f>
        <v>405</v>
      </c>
      <c r="E76" s="9">
        <f>ROUNDDOWN((1.75*F76),0)</f>
        <v>225</v>
      </c>
      <c r="F76" s="9">
        <f>ROUNDDOWN((B31/15.3-B31*(B7+B5-B6-B4)/5500),0)</f>
        <v>129</v>
      </c>
      <c r="G76" s="22"/>
      <c r="H76" s="22"/>
      <c r="I76" s="22"/>
    </row>
    <row r="77" spans="1:9" x14ac:dyDescent="0.25">
      <c r="A77" s="21"/>
      <c r="B77" s="10" t="s">
        <v>2</v>
      </c>
      <c r="C77" s="10">
        <f>((B3+B8+B9+B20+B25+B27+B6+B4)/100+1)*PRODUCT(C76,270)</f>
        <v>208224</v>
      </c>
      <c r="D77" s="10">
        <f>((B3+B8+B9+B20+B25+B27+B7+B5)/100+1)*PRODUCT(D76,300)</f>
        <v>198045</v>
      </c>
      <c r="E77" s="10">
        <f>((B3+B8+B9+B20+B25+B27+B7+B5)/100+1)*PRODUCT(E76,540)</f>
        <v>198045</v>
      </c>
      <c r="F77" s="10">
        <f>((B3+B8+B9+B20+B25+B27+B7+B5)/100+1)*PRODUCT(F76,960)</f>
        <v>201859.19999999998</v>
      </c>
      <c r="G77" s="22"/>
      <c r="H77" s="22"/>
      <c r="I77" s="22"/>
    </row>
    <row r="78" spans="1:9" x14ac:dyDescent="0.25">
      <c r="A78" s="21"/>
      <c r="B78" s="22" t="s">
        <v>29</v>
      </c>
      <c r="C78" s="13">
        <f>ROUNDDOWN(((B17+B19+B20+B22+B23+B24+B25+B26+B27)/100+1)*1.59*0.77*PRODUCT(C76,90)/171000,0)</f>
        <v>0</v>
      </c>
      <c r="D78" s="22">
        <f>ROUNDDOWN(((B18+B19+B20+B21+B22+B23+B24+B25+B26+B27)/100+1)*1.65*0.77*PRODUCT(D76,100)/2160,0)</f>
        <v>59</v>
      </c>
      <c r="E78" s="22">
        <f>ROUNDDOWN(((B18+B19+B20+B21+B22+B23+B24+B25+B26+B27)/100+1)*1.98*0.695*PRODUCT(E76,180)/2160,0)</f>
        <v>64</v>
      </c>
      <c r="F78" s="22">
        <f>ROUNDDOWN(((B18+B19+B20+B21+B22+B23+B24+B25+B26+B27)/100+1)*2.46*0.645*PRODUCT(F76,320)/2160,0)</f>
        <v>75</v>
      </c>
      <c r="G78" s="22">
        <f>SUM(D78:F78)</f>
        <v>198</v>
      </c>
      <c r="H78" s="22"/>
      <c r="I78" s="22">
        <f>G78*B16</f>
        <v>990</v>
      </c>
    </row>
    <row r="79" spans="1:9" x14ac:dyDescent="0.25">
      <c r="A79" s="21"/>
      <c r="B79" s="41" t="s">
        <v>31</v>
      </c>
      <c r="C79" s="41">
        <f>C76*B11/1000</f>
        <v>217.864</v>
      </c>
      <c r="D79" s="41">
        <f>D76*B13/1000</f>
        <v>219.51</v>
      </c>
      <c r="E79" s="41">
        <f>E76*B14/1000</f>
        <v>203.4</v>
      </c>
      <c r="F79" s="41">
        <f>F76*B15/1000</f>
        <v>162.54</v>
      </c>
      <c r="G79" s="41">
        <f>SUM(C79:F79)</f>
        <v>803.31399999999996</v>
      </c>
      <c r="H79" s="11">
        <f>G79/G78</f>
        <v>4.0571414141414142</v>
      </c>
      <c r="I79" s="41">
        <f>B16*G79</f>
        <v>4016.5699999999997</v>
      </c>
    </row>
    <row r="80" spans="1:9" x14ac:dyDescent="0.25">
      <c r="A80" s="21"/>
      <c r="B80" s="22" t="s">
        <v>34</v>
      </c>
      <c r="C80" s="22"/>
      <c r="D80" s="22"/>
      <c r="E80" s="22"/>
      <c r="F80" s="22"/>
      <c r="G80" s="22">
        <f>(2160*G78/2+2160*G78*B28/200)/1000</f>
        <v>427.68</v>
      </c>
      <c r="H80" s="22">
        <f>G79/G80</f>
        <v>1.8783062102506545</v>
      </c>
      <c r="I80" s="22">
        <f>B16*G80</f>
        <v>2138.4</v>
      </c>
    </row>
    <row r="81" spans="1:9" x14ac:dyDescent="0.25">
      <c r="A81" s="21"/>
      <c r="B81" s="22" t="s">
        <v>35</v>
      </c>
      <c r="C81" s="22"/>
      <c r="D81" s="22"/>
      <c r="E81" s="22"/>
      <c r="F81" s="22"/>
      <c r="G81" s="22">
        <f>(2160*G78+2160*G78*B29/100)/1000</f>
        <v>855.36</v>
      </c>
      <c r="H81" s="22">
        <f>G79/G81</f>
        <v>0.93915310512532724</v>
      </c>
      <c r="I81" s="22">
        <f>B16*G81</f>
        <v>4276.8</v>
      </c>
    </row>
    <row r="83" spans="1:9" x14ac:dyDescent="0.25">
      <c r="A83" s="21" t="s">
        <v>128</v>
      </c>
      <c r="B83" s="22"/>
      <c r="C83" s="22" t="s">
        <v>96</v>
      </c>
      <c r="D83" s="22" t="s">
        <v>1</v>
      </c>
      <c r="E83" s="22" t="s">
        <v>3</v>
      </c>
      <c r="F83" s="22" t="s">
        <v>33</v>
      </c>
      <c r="G83" s="22" t="s">
        <v>16</v>
      </c>
      <c r="H83" s="22" t="s">
        <v>13</v>
      </c>
      <c r="I83" s="22" t="s">
        <v>15</v>
      </c>
    </row>
    <row r="84" spans="1:9" x14ac:dyDescent="0.25">
      <c r="A84" s="21"/>
      <c r="B84" s="37" t="s">
        <v>17</v>
      </c>
      <c r="C84" s="9">
        <f>ROUNDUP((B31-2*D84-2*E84-2*F84),0)</f>
        <v>302</v>
      </c>
      <c r="D84" s="9">
        <f>ROUNDDOWN((1.8*E84),0)</f>
        <v>453</v>
      </c>
      <c r="E84" s="9">
        <f>ROUNDDOWN((1.75*F84),0)</f>
        <v>252</v>
      </c>
      <c r="F84" s="9">
        <f>ROUNDDOWN((B31/13.75-B31*(B7+B5-B6-B4)/5500),0)</f>
        <v>144</v>
      </c>
      <c r="G84" s="22"/>
      <c r="H84" s="22"/>
      <c r="I84" s="22"/>
    </row>
    <row r="85" spans="1:9" x14ac:dyDescent="0.25">
      <c r="A85" s="21"/>
      <c r="B85" s="10" t="s">
        <v>2</v>
      </c>
      <c r="C85" s="10">
        <f>((B3+B8+B9+B20+B25+B27+B6+B4)/100+1)*PRODUCT(C84,480)</f>
        <v>231936</v>
      </c>
      <c r="D85" s="10">
        <f>((B3+B8+B9+B20+B25+B27+B7+B5)/100+1)*PRODUCT(D84,300)</f>
        <v>221517</v>
      </c>
      <c r="E85" s="10">
        <f>((B3+B8+B9+B20+B25+B27+B7+B5)/100+1)*PRODUCT(E84,540)</f>
        <v>221810.4</v>
      </c>
      <c r="F85" s="10">
        <f>((B3+B8+B9+B20+B25+B27+B7+B5)/100+1)*PRODUCT(F84,960)</f>
        <v>225331.19999999998</v>
      </c>
      <c r="G85" s="22"/>
      <c r="H85" s="22"/>
      <c r="I85" s="22"/>
    </row>
    <row r="86" spans="1:9" x14ac:dyDescent="0.25">
      <c r="A86" s="21"/>
      <c r="B86" s="22" t="s">
        <v>29</v>
      </c>
      <c r="C86" s="13">
        <f>ROUNDDOWN(((B17+B19+B20+B22+B23+B24+B25+B26+B27)/100+1)*1.88*0.77*PRODUCT(C84,160)/171000,0)</f>
        <v>0</v>
      </c>
      <c r="D86" s="22">
        <f>ROUNDDOWN(((B18+B19+B20+B21+B22+B23+B24+B25+B26+B27)/100+1)*1.65*0.77*PRODUCT(D84,100)/2160,0)</f>
        <v>66</v>
      </c>
      <c r="E86" s="22">
        <f>ROUNDDOWN(((B18+B19+B20+B21+B22+B23+B24+B25+B26+B27)/100+1)*1.98*0.695*PRODUCT(E84,180)/2160,0)</f>
        <v>72</v>
      </c>
      <c r="F86" s="22">
        <f>ROUNDDOWN(((B18+B19+B20+B21+B22+B23+B24+B25+B26+B27)/100+1)*2.46*0.645*PRODUCT(F84,320)/2160,0)</f>
        <v>84</v>
      </c>
      <c r="G86" s="22">
        <f>SUM(D86:F86)</f>
        <v>222</v>
      </c>
      <c r="H86" s="22"/>
      <c r="I86" s="22">
        <f>G86*B16</f>
        <v>1110</v>
      </c>
    </row>
    <row r="87" spans="1:9" x14ac:dyDescent="0.25">
      <c r="A87" s="21"/>
      <c r="B87" s="41" t="s">
        <v>31</v>
      </c>
      <c r="C87" s="41">
        <f>C84*B12/1000</f>
        <v>191.166</v>
      </c>
      <c r="D87" s="41">
        <f>D84*B13/1000</f>
        <v>245.52600000000001</v>
      </c>
      <c r="E87" s="41">
        <f>E84*B14/1000</f>
        <v>227.80799999999999</v>
      </c>
      <c r="F87" s="41">
        <f>F84*B15/1000</f>
        <v>181.44</v>
      </c>
      <c r="G87" s="41">
        <f>SUM(C87:F87)</f>
        <v>845.94</v>
      </c>
      <c r="H87" s="11">
        <f>G87/G86</f>
        <v>3.8105405405405408</v>
      </c>
      <c r="I87" s="41">
        <f>B16*G87</f>
        <v>4229.7000000000007</v>
      </c>
    </row>
    <row r="88" spans="1:9" x14ac:dyDescent="0.25">
      <c r="A88" s="21"/>
      <c r="B88" s="22" t="s">
        <v>34</v>
      </c>
      <c r="C88" s="22"/>
      <c r="D88" s="22"/>
      <c r="E88" s="22"/>
      <c r="F88" s="22"/>
      <c r="G88" s="22">
        <f>(2160*G86/2+2160*G86*B28/200)/1000</f>
        <v>479.52</v>
      </c>
      <c r="H88" s="22">
        <f>G87/G88</f>
        <v>1.7641391391391392</v>
      </c>
      <c r="I88" s="22">
        <f>B16*G88</f>
        <v>2397.6</v>
      </c>
    </row>
    <row r="89" spans="1:9" x14ac:dyDescent="0.25">
      <c r="A89" s="21"/>
      <c r="B89" s="22" t="s">
        <v>35</v>
      </c>
      <c r="C89" s="22"/>
      <c r="D89" s="22"/>
      <c r="E89" s="22"/>
      <c r="F89" s="22"/>
      <c r="G89" s="22">
        <f>(2160*G86+2160*G86*B29/100)/1000</f>
        <v>959.04</v>
      </c>
      <c r="H89" s="22">
        <f>G87/G89</f>
        <v>0.88206956956956961</v>
      </c>
      <c r="I89" s="22">
        <f>B16*G89</f>
        <v>4795.2</v>
      </c>
    </row>
    <row r="92" spans="1:9" x14ac:dyDescent="0.25">
      <c r="A92" s="44" t="s">
        <v>119</v>
      </c>
      <c r="B92" s="48"/>
      <c r="C92" s="48"/>
      <c r="D92" s="48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16" zoomScale="90" zoomScaleNormal="90" workbookViewId="0">
      <selection activeCell="B36" sqref="B36"/>
    </sheetView>
  </sheetViews>
  <sheetFormatPr defaultRowHeight="15" x14ac:dyDescent="0.25"/>
  <cols>
    <col min="1" max="1" width="40" customWidth="1"/>
    <col min="2" max="2" width="20.85546875" customWidth="1"/>
    <col min="3" max="6" width="11.5703125" customWidth="1"/>
    <col min="7" max="7" width="13.85546875" customWidth="1"/>
    <col min="8" max="8" width="15.140625" customWidth="1"/>
    <col min="9" max="9" width="14.7109375" customWidth="1"/>
  </cols>
  <sheetData>
    <row r="1" spans="1:3" x14ac:dyDescent="0.25">
      <c r="A1" s="43" t="s">
        <v>113</v>
      </c>
    </row>
    <row r="3" spans="1:3" x14ac:dyDescent="0.25">
      <c r="A3" s="10" t="s">
        <v>129</v>
      </c>
      <c r="B3" s="7">
        <v>3</v>
      </c>
      <c r="C3" t="s">
        <v>22</v>
      </c>
    </row>
    <row r="4" spans="1:3" x14ac:dyDescent="0.25">
      <c r="A4" s="10" t="s">
        <v>65</v>
      </c>
      <c r="B4" s="7">
        <v>0</v>
      </c>
      <c r="C4" t="s">
        <v>22</v>
      </c>
    </row>
    <row r="5" spans="1:3" x14ac:dyDescent="0.25">
      <c r="A5" s="10" t="s">
        <v>66</v>
      </c>
      <c r="B5" s="7">
        <v>0</v>
      </c>
      <c r="C5" t="s">
        <v>22</v>
      </c>
    </row>
    <row r="6" spans="1:3" x14ac:dyDescent="0.25">
      <c r="A6" s="10" t="s">
        <v>88</v>
      </c>
      <c r="B6" s="7">
        <v>0</v>
      </c>
      <c r="C6" t="s">
        <v>22</v>
      </c>
    </row>
    <row r="7" spans="1:3" x14ac:dyDescent="0.25">
      <c r="A7" s="10" t="s">
        <v>67</v>
      </c>
      <c r="B7" s="7">
        <v>4</v>
      </c>
      <c r="C7" t="s">
        <v>21</v>
      </c>
    </row>
    <row r="8" spans="1:3" x14ac:dyDescent="0.25">
      <c r="A8" s="10" t="s">
        <v>68</v>
      </c>
      <c r="B8" s="7">
        <v>7</v>
      </c>
      <c r="C8" t="s">
        <v>21</v>
      </c>
    </row>
    <row r="9" spans="1:3" x14ac:dyDescent="0.25">
      <c r="A9" s="10" t="s">
        <v>89</v>
      </c>
      <c r="B9" s="7">
        <v>3</v>
      </c>
      <c r="C9" t="s">
        <v>21</v>
      </c>
    </row>
    <row r="10" spans="1:3" x14ac:dyDescent="0.25">
      <c r="A10" s="10" t="s">
        <v>130</v>
      </c>
      <c r="B10" s="7">
        <v>0</v>
      </c>
      <c r="C10" s="49" t="s">
        <v>132</v>
      </c>
    </row>
    <row r="11" spans="1:3" x14ac:dyDescent="0.25">
      <c r="A11" s="10" t="s">
        <v>131</v>
      </c>
      <c r="B11" s="7">
        <v>0</v>
      </c>
      <c r="C11" s="49" t="s">
        <v>133</v>
      </c>
    </row>
    <row r="12" spans="1:3" x14ac:dyDescent="0.25">
      <c r="A12" s="6" t="s">
        <v>18</v>
      </c>
      <c r="B12" s="7">
        <v>271</v>
      </c>
      <c r="C12" s="19" t="s">
        <v>27</v>
      </c>
    </row>
    <row r="13" spans="1:3" x14ac:dyDescent="0.25">
      <c r="A13" s="6" t="s">
        <v>93</v>
      </c>
      <c r="B13" s="7">
        <v>452</v>
      </c>
      <c r="C13" s="19" t="s">
        <v>27</v>
      </c>
    </row>
    <row r="14" spans="1:3" x14ac:dyDescent="0.25">
      <c r="A14" s="6" t="s">
        <v>97</v>
      </c>
      <c r="B14" s="7">
        <v>633</v>
      </c>
      <c r="C14" s="19" t="s">
        <v>27</v>
      </c>
    </row>
    <row r="15" spans="1:3" x14ac:dyDescent="0.25">
      <c r="A15" s="6" t="s">
        <v>19</v>
      </c>
      <c r="B15" s="7">
        <v>542</v>
      </c>
      <c r="C15" s="19" t="s">
        <v>27</v>
      </c>
    </row>
    <row r="16" spans="1:3" x14ac:dyDescent="0.25">
      <c r="A16" s="6" t="s">
        <v>20</v>
      </c>
      <c r="B16" s="7">
        <v>904</v>
      </c>
      <c r="C16" s="19" t="s">
        <v>27</v>
      </c>
    </row>
    <row r="17" spans="1:3" x14ac:dyDescent="0.25">
      <c r="A17" s="6" t="s">
        <v>32</v>
      </c>
      <c r="B17" s="39">
        <v>1260</v>
      </c>
      <c r="C17" s="19" t="s">
        <v>27</v>
      </c>
    </row>
    <row r="18" spans="1:3" x14ac:dyDescent="0.25">
      <c r="A18" s="6" t="s">
        <v>102</v>
      </c>
      <c r="B18" s="7">
        <v>271</v>
      </c>
      <c r="C18" s="19" t="s">
        <v>27</v>
      </c>
    </row>
    <row r="19" spans="1:3" x14ac:dyDescent="0.25">
      <c r="A19" s="6" t="s">
        <v>94</v>
      </c>
      <c r="B19" s="7">
        <v>452</v>
      </c>
      <c r="C19" s="19" t="s">
        <v>27</v>
      </c>
    </row>
    <row r="20" spans="1:3" ht="15.75" thickBot="1" x14ac:dyDescent="0.3">
      <c r="A20" s="17" t="s">
        <v>95</v>
      </c>
      <c r="B20" s="33">
        <v>633</v>
      </c>
      <c r="C20" s="19" t="s">
        <v>27</v>
      </c>
    </row>
    <row r="21" spans="1:3" ht="15.75" thickBot="1" x14ac:dyDescent="0.3">
      <c r="A21" s="50" t="s">
        <v>14</v>
      </c>
      <c r="B21" s="34">
        <v>5</v>
      </c>
      <c r="C21" s="5" t="s">
        <v>26</v>
      </c>
    </row>
    <row r="22" spans="1:3" x14ac:dyDescent="0.25">
      <c r="A22" s="6" t="s">
        <v>98</v>
      </c>
      <c r="B22" s="36">
        <v>3</v>
      </c>
      <c r="C22" t="s">
        <v>22</v>
      </c>
    </row>
    <row r="23" spans="1:3" x14ac:dyDescent="0.25">
      <c r="A23" s="6" t="s">
        <v>99</v>
      </c>
      <c r="B23" s="40">
        <v>17</v>
      </c>
      <c r="C23" t="s">
        <v>22</v>
      </c>
    </row>
    <row r="24" spans="1:3" x14ac:dyDescent="0.25">
      <c r="A24" s="6" t="s">
        <v>120</v>
      </c>
      <c r="B24" s="40">
        <v>3</v>
      </c>
      <c r="C24" t="s">
        <v>22</v>
      </c>
    </row>
    <row r="25" spans="1:3" x14ac:dyDescent="0.25">
      <c r="A25" s="6" t="s">
        <v>100</v>
      </c>
      <c r="B25" s="40">
        <v>19</v>
      </c>
      <c r="C25" t="s">
        <v>22</v>
      </c>
    </row>
    <row r="26" spans="1:3" x14ac:dyDescent="0.25">
      <c r="A26" s="6" t="s">
        <v>115</v>
      </c>
      <c r="B26" s="40">
        <v>9</v>
      </c>
      <c r="C26" t="s">
        <v>24</v>
      </c>
    </row>
    <row r="27" spans="1:3" x14ac:dyDescent="0.25">
      <c r="A27" s="6" t="s">
        <v>116</v>
      </c>
      <c r="B27" s="40">
        <v>7</v>
      </c>
      <c r="C27" t="s">
        <v>24</v>
      </c>
    </row>
    <row r="28" spans="1:3" x14ac:dyDescent="0.25">
      <c r="A28" s="51" t="s">
        <v>69</v>
      </c>
      <c r="B28" s="7">
        <v>25</v>
      </c>
      <c r="C28" s="25" t="s">
        <v>23</v>
      </c>
    </row>
    <row r="29" spans="1:3" x14ac:dyDescent="0.25">
      <c r="A29" s="51" t="s">
        <v>70</v>
      </c>
      <c r="B29" s="7">
        <v>0</v>
      </c>
      <c r="C29" s="24" t="s">
        <v>42</v>
      </c>
    </row>
    <row r="30" spans="1:3" x14ac:dyDescent="0.25">
      <c r="A30" s="51" t="s">
        <v>71</v>
      </c>
      <c r="B30" s="7">
        <v>3.5</v>
      </c>
      <c r="C30" s="25" t="s">
        <v>25</v>
      </c>
    </row>
    <row r="31" spans="1:3" x14ac:dyDescent="0.25">
      <c r="A31" s="51" t="s">
        <v>72</v>
      </c>
      <c r="B31" s="7">
        <v>25</v>
      </c>
      <c r="C31" s="24" t="s">
        <v>41</v>
      </c>
    </row>
    <row r="32" spans="1:3" x14ac:dyDescent="0.25">
      <c r="A32" s="51" t="s">
        <v>134</v>
      </c>
      <c r="B32" s="7">
        <v>0</v>
      </c>
      <c r="C32" s="24" t="s">
        <v>135</v>
      </c>
    </row>
    <row r="33" spans="1:9" x14ac:dyDescent="0.25">
      <c r="A33" s="51" t="s">
        <v>73</v>
      </c>
      <c r="B33" s="7">
        <v>100</v>
      </c>
      <c r="C33" s="25" t="s">
        <v>23</v>
      </c>
    </row>
    <row r="34" spans="1:9" x14ac:dyDescent="0.25">
      <c r="A34" s="51" t="s">
        <v>74</v>
      </c>
      <c r="B34" s="7">
        <v>100</v>
      </c>
      <c r="C34" s="25" t="s">
        <v>23</v>
      </c>
    </row>
    <row r="35" spans="1:9" ht="15.75" thickBot="1" x14ac:dyDescent="0.3">
      <c r="A35" s="17"/>
      <c r="B35" s="18"/>
    </row>
    <row r="36" spans="1:9" ht="15.75" thickBot="1" x14ac:dyDescent="0.3">
      <c r="A36" s="35" t="s">
        <v>62</v>
      </c>
      <c r="B36" s="16">
        <v>4000</v>
      </c>
    </row>
    <row r="37" spans="1:9" x14ac:dyDescent="0.25">
      <c r="A37" s="2"/>
      <c r="B37" s="2"/>
    </row>
    <row r="38" spans="1:9" x14ac:dyDescent="0.25">
      <c r="A38" s="4" t="s">
        <v>121</v>
      </c>
      <c r="B38" s="8"/>
      <c r="C38" s="8" t="s">
        <v>92</v>
      </c>
      <c r="D38" s="8" t="s">
        <v>1</v>
      </c>
      <c r="E38" s="8"/>
      <c r="F38" s="8"/>
      <c r="G38" s="8" t="s">
        <v>16</v>
      </c>
      <c r="H38" s="8" t="s">
        <v>13</v>
      </c>
      <c r="I38" s="8" t="s">
        <v>15</v>
      </c>
    </row>
    <row r="39" spans="1:9" x14ac:dyDescent="0.25">
      <c r="A39" s="4"/>
      <c r="B39" s="37" t="s">
        <v>17</v>
      </c>
      <c r="C39" s="9">
        <f>ROUNDUP((B36-2*D39),0)</f>
        <v>2036</v>
      </c>
      <c r="D39" s="9">
        <f>ROUNDDOWN((B36/4-B36*(B8+B5-B9-B6)/940),0)</f>
        <v>982</v>
      </c>
      <c r="E39" s="8"/>
      <c r="F39" s="8"/>
      <c r="G39" s="8"/>
      <c r="H39" s="8"/>
      <c r="I39" s="8"/>
    </row>
    <row r="40" spans="1:9" x14ac:dyDescent="0.25">
      <c r="A40" s="4"/>
      <c r="B40" s="10" t="s">
        <v>2</v>
      </c>
      <c r="C40" s="10">
        <f>((B3+B10+B11+B24+B28+B32+B9+B6)/100+1)*PRODUCT(C39,150)</f>
        <v>409236</v>
      </c>
      <c r="D40" s="10">
        <f>((B3+B10+B11+B24+B28+B32+B8+B5)/100+1)*PRODUCT(D39,300)</f>
        <v>406547.99999999994</v>
      </c>
      <c r="E40" s="8"/>
      <c r="F40" s="8"/>
      <c r="G40" s="8"/>
      <c r="H40" s="8"/>
      <c r="I40" s="8"/>
    </row>
    <row r="41" spans="1:9" x14ac:dyDescent="0.25">
      <c r="A41" s="4"/>
      <c r="B41" s="8" t="s">
        <v>29</v>
      </c>
      <c r="C41" s="13">
        <f>ROUNDDOWN(((B24+B25+B26+B28+B29+B30+B31)/100+1)*1.67*0.77*PRODUCT(C39,50)/132000,0)</f>
        <v>1</v>
      </c>
      <c r="D41" s="8">
        <f>ROUNDDOWN(((B23+B25+B26+B27+B28+B29+B30+B31)/100+1)*1.65*0.76*PRODUCT(D39,100)/19500,0)</f>
        <v>12</v>
      </c>
      <c r="E41" s="8"/>
      <c r="F41" s="8"/>
      <c r="G41" s="8">
        <f>SUM(D41:E41)</f>
        <v>12</v>
      </c>
      <c r="H41" s="8"/>
      <c r="I41" s="8">
        <f>G41*B21</f>
        <v>60</v>
      </c>
    </row>
    <row r="42" spans="1:9" x14ac:dyDescent="0.25">
      <c r="A42" s="4"/>
      <c r="B42" s="41" t="s">
        <v>31</v>
      </c>
      <c r="C42" s="41">
        <f>C39*B18/1000</f>
        <v>551.75599999999997</v>
      </c>
      <c r="D42" s="41">
        <f>D39*B15/1000</f>
        <v>532.24400000000003</v>
      </c>
      <c r="E42" s="41"/>
      <c r="F42" s="41"/>
      <c r="G42" s="41">
        <f>SUM(C42:D42)</f>
        <v>1084</v>
      </c>
      <c r="H42" s="11">
        <f>G42/G41</f>
        <v>90.333333333333329</v>
      </c>
      <c r="I42" s="41">
        <f>B21*G42</f>
        <v>5420</v>
      </c>
    </row>
    <row r="43" spans="1:9" x14ac:dyDescent="0.25">
      <c r="A43" s="4"/>
      <c r="B43" s="8" t="s">
        <v>34</v>
      </c>
      <c r="C43" s="8"/>
      <c r="D43" s="8"/>
      <c r="E43" s="8"/>
      <c r="F43" s="8"/>
      <c r="G43" s="8">
        <f>(19500*G41/2+19500*G41*B33/200)/1000</f>
        <v>234</v>
      </c>
      <c r="H43" s="8">
        <f>G42/G43</f>
        <v>4.6324786324786329</v>
      </c>
      <c r="I43" s="8">
        <f>B21*G43</f>
        <v>1170</v>
      </c>
    </row>
    <row r="44" spans="1:9" x14ac:dyDescent="0.25">
      <c r="A44" s="4"/>
      <c r="B44" s="8" t="s">
        <v>35</v>
      </c>
      <c r="C44" s="8"/>
      <c r="D44" s="8"/>
      <c r="E44" s="8"/>
      <c r="F44" s="8"/>
      <c r="G44" s="8">
        <f>(19500*G41+19500*G41*B34/100)/1000</f>
        <v>468</v>
      </c>
      <c r="H44" s="8">
        <f>G42/G44</f>
        <v>2.3162393162393164</v>
      </c>
      <c r="I44" s="8">
        <f>B21*G44</f>
        <v>2340</v>
      </c>
    </row>
    <row r="45" spans="1:9" x14ac:dyDescent="0.25">
      <c r="A45" s="2"/>
      <c r="B45" s="2"/>
    </row>
    <row r="46" spans="1:9" x14ac:dyDescent="0.25">
      <c r="A46" s="4" t="s">
        <v>122</v>
      </c>
      <c r="B46" s="8"/>
      <c r="C46" s="8" t="s">
        <v>0</v>
      </c>
      <c r="D46" s="8" t="s">
        <v>1</v>
      </c>
      <c r="E46" s="8"/>
      <c r="F46" s="8"/>
      <c r="G46" s="8" t="s">
        <v>16</v>
      </c>
      <c r="H46" s="8" t="s">
        <v>13</v>
      </c>
      <c r="I46" s="8" t="s">
        <v>15</v>
      </c>
    </row>
    <row r="47" spans="1:9" x14ac:dyDescent="0.25">
      <c r="A47" s="4"/>
      <c r="B47" s="37" t="s">
        <v>17</v>
      </c>
      <c r="C47" s="9">
        <f>ROUNDUP((B36-2*D47),0)</f>
        <v>2032</v>
      </c>
      <c r="D47" s="9">
        <f>ROUNDDOWN((B36/4-1-B36*(B8+B5-B7-B4)/840),0)</f>
        <v>984</v>
      </c>
      <c r="E47" s="8"/>
      <c r="F47" s="8"/>
      <c r="G47" s="8"/>
      <c r="H47" s="8"/>
      <c r="I47" s="8"/>
    </row>
    <row r="48" spans="1:9" x14ac:dyDescent="0.25">
      <c r="A48" s="4"/>
      <c r="B48" s="10" t="s">
        <v>2</v>
      </c>
      <c r="C48" s="10">
        <f>((B3+B10+B11+B24+B28+B32+B7+B4)/100+1)*PRODUCT(C47,150)</f>
        <v>411480</v>
      </c>
      <c r="D48" s="10">
        <f>((B3+B10+B11+B24+B28+B32+B8+B5)/100+1)*PRODUCT(D47,300)</f>
        <v>407375.99999999994</v>
      </c>
      <c r="E48" s="8"/>
      <c r="F48" s="8"/>
      <c r="G48" s="8"/>
      <c r="H48" s="8"/>
      <c r="I48" s="8"/>
    </row>
    <row r="49" spans="1:10" x14ac:dyDescent="0.25">
      <c r="A49" s="4"/>
      <c r="B49" s="8" t="s">
        <v>29</v>
      </c>
      <c r="C49" s="13">
        <f>ROUNDDOWN(((B22+B25+B26+B28+B29+B30+B31)/100+1)*1.39*0.77*PRODUCT(C47,50)/150000,0)</f>
        <v>1</v>
      </c>
      <c r="D49" s="8">
        <f>ROUNDDOWN(((B23+B25+B26+B27+B28+B29+B30+B31)/100+1)*1.65*0.76*PRODUCT(D47,100)/19500,0)</f>
        <v>13</v>
      </c>
      <c r="E49" s="8"/>
      <c r="F49" s="8"/>
      <c r="G49" s="8">
        <f>SUM(D49:E49)</f>
        <v>13</v>
      </c>
      <c r="H49" s="8"/>
      <c r="I49" s="8">
        <f>G49*B21</f>
        <v>65</v>
      </c>
    </row>
    <row r="50" spans="1:10" x14ac:dyDescent="0.25">
      <c r="A50" s="4"/>
      <c r="B50" s="41" t="s">
        <v>31</v>
      </c>
      <c r="C50" s="41">
        <f>C47*B12/1000</f>
        <v>550.67200000000003</v>
      </c>
      <c r="D50" s="41">
        <f>D47*B15/1000</f>
        <v>533.32799999999997</v>
      </c>
      <c r="E50" s="41"/>
      <c r="F50" s="41"/>
      <c r="G50" s="41">
        <f>SUM(C50:D50)</f>
        <v>1084</v>
      </c>
      <c r="H50" s="11">
        <f>G50/G49</f>
        <v>83.384615384615387</v>
      </c>
      <c r="I50" s="41">
        <f>B21*G50</f>
        <v>5420</v>
      </c>
    </row>
    <row r="51" spans="1:10" x14ac:dyDescent="0.25">
      <c r="A51" s="4"/>
      <c r="B51" s="8" t="s">
        <v>34</v>
      </c>
      <c r="C51" s="8"/>
      <c r="D51" s="8"/>
      <c r="E51" s="8"/>
      <c r="F51" s="8"/>
      <c r="G51" s="8">
        <f>(19500*G49/2+19500*G49*B33/200)/1000</f>
        <v>253.5</v>
      </c>
      <c r="H51" s="8">
        <f>G50/G51</f>
        <v>4.2761341222879681</v>
      </c>
      <c r="I51" s="8">
        <f>B21*G51</f>
        <v>1267.5</v>
      </c>
    </row>
    <row r="52" spans="1:10" x14ac:dyDescent="0.25">
      <c r="A52" s="4"/>
      <c r="B52" s="8" t="s">
        <v>35</v>
      </c>
      <c r="C52" s="8"/>
      <c r="D52" s="8"/>
      <c r="E52" s="8"/>
      <c r="F52" s="8"/>
      <c r="G52" s="8">
        <f>(19500*G49+19500*G49*B34/100)/1000</f>
        <v>507</v>
      </c>
      <c r="H52" s="8">
        <f>G50/G52</f>
        <v>2.138067061143984</v>
      </c>
      <c r="I52" s="8">
        <f>B21*G52</f>
        <v>2535</v>
      </c>
    </row>
    <row r="53" spans="1:10" x14ac:dyDescent="0.25">
      <c r="B53" s="2"/>
      <c r="C53" s="2"/>
      <c r="D53" s="2"/>
      <c r="E53" s="2"/>
      <c r="F53" s="2"/>
      <c r="G53" s="2"/>
      <c r="H53" s="2"/>
      <c r="I53" s="2"/>
    </row>
    <row r="54" spans="1:10" x14ac:dyDescent="0.25">
      <c r="A54" s="1" t="s">
        <v>28</v>
      </c>
      <c r="B54" s="12"/>
      <c r="C54" s="12" t="s">
        <v>1</v>
      </c>
      <c r="D54" s="12" t="s">
        <v>3</v>
      </c>
      <c r="E54" s="12"/>
      <c r="F54" s="12"/>
      <c r="G54" s="12" t="s">
        <v>16</v>
      </c>
      <c r="H54" s="12" t="s">
        <v>13</v>
      </c>
      <c r="I54" s="12" t="s">
        <v>15</v>
      </c>
    </row>
    <row r="55" spans="1:10" x14ac:dyDescent="0.25">
      <c r="A55" s="1"/>
      <c r="B55" s="37" t="s">
        <v>17</v>
      </c>
      <c r="C55" s="9">
        <f>SUM(ROUNDDOWN(B36/2,0),-D55)</f>
        <v>1288</v>
      </c>
      <c r="D55" s="9">
        <f>ROUNDDOWN(PRODUCT(B36,0.1785)-2,0)</f>
        <v>712</v>
      </c>
      <c r="E55" s="12"/>
      <c r="F55" s="12"/>
      <c r="G55" s="12"/>
      <c r="H55" s="12"/>
      <c r="I55" s="12"/>
    </row>
    <row r="56" spans="1:10" x14ac:dyDescent="0.25">
      <c r="A56" s="1"/>
      <c r="B56" s="10" t="s">
        <v>2</v>
      </c>
      <c r="C56" s="10">
        <f>((B3+B10+B11+B24+B28+B32+B8+B5)/100+1)*PRODUCT(C55,300)</f>
        <v>533232</v>
      </c>
      <c r="D56" s="10">
        <f>((B3+B10+B11+B24+B28+B32+B8+B5)/100+1)*PRODUCT(D55,540)</f>
        <v>530582.39999999991</v>
      </c>
      <c r="E56" s="12"/>
      <c r="F56" s="12"/>
      <c r="G56" s="12"/>
      <c r="H56" s="12"/>
      <c r="I56" s="12"/>
    </row>
    <row r="57" spans="1:10" x14ac:dyDescent="0.25">
      <c r="A57" s="1"/>
      <c r="B57" s="12" t="s">
        <v>29</v>
      </c>
      <c r="C57" s="12">
        <f>ROUNDDOWN(((B23+B25+B26+B27+B28+B29+B30+B31)/100+1)*1.65*0.76*PRODUCT(C55,100)/19500,0)</f>
        <v>17</v>
      </c>
      <c r="D57" s="12">
        <f>ROUNDDOWN(((B23+B25+B26+B27+B28+B29+B30+B31)/100+1)*1.98*0.695*PRODUCT(D55,180)/19500,0)</f>
        <v>18</v>
      </c>
      <c r="E57" s="12"/>
      <c r="F57" s="12"/>
      <c r="G57" s="12">
        <f>C57+D57</f>
        <v>35</v>
      </c>
      <c r="H57" s="23">
        <f>G59/G57</f>
        <v>38.335542857142862</v>
      </c>
      <c r="I57" s="12">
        <f>G57*B21</f>
        <v>175</v>
      </c>
    </row>
    <row r="58" spans="1:10" x14ac:dyDescent="0.25">
      <c r="A58" s="1"/>
      <c r="B58" s="12" t="s">
        <v>29</v>
      </c>
      <c r="C58" s="13">
        <v>0</v>
      </c>
      <c r="D58" s="12">
        <f>ROUNDDOWN(((B23+B25+B26+B27+B28+B29+B30+B31)/100+1)*1.98*0.695*PRODUCT(D55,180)/19500,0)</f>
        <v>18</v>
      </c>
      <c r="E58" s="12"/>
      <c r="F58" s="12"/>
      <c r="G58" s="12">
        <f>C58+D58</f>
        <v>18</v>
      </c>
      <c r="H58" s="23">
        <f>G59/G58</f>
        <v>74.541333333333341</v>
      </c>
      <c r="I58" s="12">
        <f>G58*B21</f>
        <v>90</v>
      </c>
    </row>
    <row r="59" spans="1:10" x14ac:dyDescent="0.25">
      <c r="A59" s="1"/>
      <c r="B59" s="41" t="s">
        <v>31</v>
      </c>
      <c r="C59" s="41">
        <f>C55*B15/1000</f>
        <v>698.096</v>
      </c>
      <c r="D59" s="41">
        <f>D55*B16/1000</f>
        <v>643.64800000000002</v>
      </c>
      <c r="E59" s="41"/>
      <c r="F59" s="41"/>
      <c r="G59" s="41">
        <f>SUM(C59:D59)</f>
        <v>1341.7440000000001</v>
      </c>
      <c r="H59" s="11">
        <f>G59/(0.5*C57+D57)</f>
        <v>50.631849056603777</v>
      </c>
      <c r="I59" s="41">
        <f>B21*G59</f>
        <v>6708.7200000000012</v>
      </c>
    </row>
    <row r="60" spans="1:10" x14ac:dyDescent="0.25">
      <c r="A60" s="1"/>
      <c r="B60" s="12" t="s">
        <v>34</v>
      </c>
      <c r="C60" s="12"/>
      <c r="D60" s="12"/>
      <c r="E60" s="12"/>
      <c r="F60" s="12"/>
      <c r="G60" s="12">
        <f>(19500*G58/2+19500*G58*B33/200)/1000</f>
        <v>351</v>
      </c>
      <c r="H60" s="12">
        <f>G59/G60</f>
        <v>3.822632478632479</v>
      </c>
      <c r="I60" s="12">
        <f>B21*G60</f>
        <v>1755</v>
      </c>
    </row>
    <row r="61" spans="1:10" x14ac:dyDescent="0.25">
      <c r="A61" s="1"/>
      <c r="B61" s="12" t="s">
        <v>35</v>
      </c>
      <c r="C61" s="12"/>
      <c r="D61" s="12"/>
      <c r="E61" s="12"/>
      <c r="F61" s="12"/>
      <c r="G61" s="12">
        <f>(19500*G58+19500*G58*B34/100)/1000</f>
        <v>702</v>
      </c>
      <c r="H61" s="12">
        <f>G59/G61</f>
        <v>1.9113162393162395</v>
      </c>
      <c r="I61" s="12">
        <f>B21*G61</f>
        <v>3510</v>
      </c>
      <c r="J61" s="2"/>
    </row>
    <row r="63" spans="1:10" x14ac:dyDescent="0.25">
      <c r="A63" s="3" t="s">
        <v>117</v>
      </c>
      <c r="B63" s="14"/>
      <c r="C63" s="14" t="s">
        <v>92</v>
      </c>
      <c r="D63" s="14" t="s">
        <v>1</v>
      </c>
      <c r="E63" s="14" t="s">
        <v>3</v>
      </c>
      <c r="F63" s="14"/>
      <c r="G63" s="14" t="s">
        <v>16</v>
      </c>
      <c r="H63" s="14" t="s">
        <v>13</v>
      </c>
      <c r="I63" s="14" t="s">
        <v>15</v>
      </c>
    </row>
    <row r="64" spans="1:10" x14ac:dyDescent="0.25">
      <c r="A64" s="3"/>
      <c r="B64" s="37" t="s">
        <v>17</v>
      </c>
      <c r="C64" s="9">
        <f>ROUNDUP((B36-2*D64-2*E64),0)</f>
        <v>1612</v>
      </c>
      <c r="D64" s="9">
        <f>ROUNDDOWN((1.8*E64-1),0)</f>
        <v>767</v>
      </c>
      <c r="E64" s="9">
        <f>ROUNDDOWN((B36/9.22-B36*(B8+B5-B9-B6)/2400),0)</f>
        <v>427</v>
      </c>
      <c r="F64" s="9"/>
      <c r="G64" s="14"/>
      <c r="H64" s="14"/>
      <c r="I64" s="14"/>
    </row>
    <row r="65" spans="1:9" x14ac:dyDescent="0.25">
      <c r="A65" s="3"/>
      <c r="B65" s="10" t="s">
        <v>2</v>
      </c>
      <c r="C65" s="10">
        <f>((B3+B10+B11+B24+B28+B32+B9+B6)/100+1)*PRODUCT(C64,150)</f>
        <v>324012</v>
      </c>
      <c r="D65" s="10">
        <f>((B3+B10+B11+B24+B28+B32+B8+B5)/100+1)*PRODUCT(D64,300)</f>
        <v>317538</v>
      </c>
      <c r="E65" s="10">
        <f>((B3+B10+B11+B24+B28+B32+B8+B5)/100+1)*PRODUCT(E64,540)</f>
        <v>318200.39999999997</v>
      </c>
      <c r="F65" s="10"/>
      <c r="G65" s="14"/>
      <c r="H65" s="14"/>
      <c r="I65" s="14"/>
    </row>
    <row r="66" spans="1:9" x14ac:dyDescent="0.25">
      <c r="A66" s="3"/>
      <c r="B66" s="14" t="s">
        <v>29</v>
      </c>
      <c r="C66" s="13">
        <f>ROUNDDOWN(((B24+B25+B26+B28+B29+B30+B31)/100+1)*1.67*0.77*PRODUCT(C64,50)/132000,0)</f>
        <v>1</v>
      </c>
      <c r="D66" s="14">
        <f>ROUNDDOWN(((B23+B25+B26+B27+B28+B29+B30+B31)/100+1)*1.65*0.76*PRODUCT(D64,100)/19500,0)</f>
        <v>10</v>
      </c>
      <c r="E66" s="14">
        <f>ROUNDDOWN(((B23+B25+B26+B27+B28+B29+B30+B31)/100+1)*1.98*0.695*PRODUCT(E64,180)/19500,0)</f>
        <v>11</v>
      </c>
      <c r="F66" s="14"/>
      <c r="G66" s="14">
        <f>SUM(D66:E66)</f>
        <v>21</v>
      </c>
      <c r="H66" s="14"/>
      <c r="I66" s="14">
        <f>G66*B21</f>
        <v>105</v>
      </c>
    </row>
    <row r="67" spans="1:9" x14ac:dyDescent="0.25">
      <c r="A67" s="3"/>
      <c r="B67" s="41" t="s">
        <v>31</v>
      </c>
      <c r="C67" s="41">
        <f>C64*B18/1000</f>
        <v>436.85199999999998</v>
      </c>
      <c r="D67" s="41">
        <f>D64*B15/1000</f>
        <v>415.714</v>
      </c>
      <c r="E67" s="41">
        <f>E64*B16/1000</f>
        <v>386.00799999999998</v>
      </c>
      <c r="F67" s="41"/>
      <c r="G67" s="41">
        <f>SUM(C67:E67)</f>
        <v>1238.5740000000001</v>
      </c>
      <c r="H67" s="11">
        <f>G67/G66</f>
        <v>58.979714285714287</v>
      </c>
      <c r="I67" s="41">
        <f>B21*G67</f>
        <v>6192.8700000000008</v>
      </c>
    </row>
    <row r="68" spans="1:9" x14ac:dyDescent="0.25">
      <c r="A68" s="3"/>
      <c r="B68" s="14" t="s">
        <v>34</v>
      </c>
      <c r="C68" s="14"/>
      <c r="D68" s="14"/>
      <c r="E68" s="14"/>
      <c r="F68" s="14"/>
      <c r="G68" s="14">
        <f>(19500*G66/2+19500*G66*B33/200)/1000</f>
        <v>409.5</v>
      </c>
      <c r="H68" s="14">
        <f>G67/G68</f>
        <v>3.0246007326007329</v>
      </c>
      <c r="I68" s="14">
        <f>B21*G68</f>
        <v>2047.5</v>
      </c>
    </row>
    <row r="69" spans="1:9" x14ac:dyDescent="0.25">
      <c r="A69" s="3"/>
      <c r="B69" s="14" t="s">
        <v>35</v>
      </c>
      <c r="C69" s="14"/>
      <c r="D69" s="14"/>
      <c r="E69" s="14"/>
      <c r="F69" s="14"/>
      <c r="G69" s="14">
        <f>(19500*G66+19500*G66*B34/100)/1000</f>
        <v>819</v>
      </c>
      <c r="H69" s="14">
        <f>G67/G69</f>
        <v>1.5123003663003665</v>
      </c>
      <c r="I69" s="14">
        <f>B21*G69</f>
        <v>4095</v>
      </c>
    </row>
    <row r="71" spans="1:9" x14ac:dyDescent="0.25">
      <c r="A71" s="3" t="s">
        <v>117</v>
      </c>
      <c r="B71" s="14"/>
      <c r="C71" s="14" t="s">
        <v>90</v>
      </c>
      <c r="D71" s="14" t="s">
        <v>1</v>
      </c>
      <c r="E71" s="14" t="s">
        <v>3</v>
      </c>
      <c r="F71" s="14"/>
      <c r="G71" s="14" t="s">
        <v>16</v>
      </c>
      <c r="H71" s="14" t="s">
        <v>13</v>
      </c>
      <c r="I71" s="14" t="s">
        <v>15</v>
      </c>
    </row>
    <row r="72" spans="1:9" x14ac:dyDescent="0.25">
      <c r="A72" s="3"/>
      <c r="B72" s="37" t="s">
        <v>17</v>
      </c>
      <c r="C72" s="9">
        <f>ROUNDUP((B36-2*D72-2*E72),0)</f>
        <v>1086</v>
      </c>
      <c r="D72" s="9">
        <f>ROUNDDOWN((1.8*E72-1),0)</f>
        <v>936</v>
      </c>
      <c r="E72" s="9">
        <f>ROUNDDOWN((B36/7.57-B36*(B8+B5-B9-B6)/2400),0)</f>
        <v>521</v>
      </c>
      <c r="F72" s="9"/>
      <c r="G72" s="14"/>
      <c r="H72" s="14"/>
      <c r="I72" s="14"/>
    </row>
    <row r="73" spans="1:9" x14ac:dyDescent="0.25">
      <c r="A73" s="3"/>
      <c r="B73" s="10" t="s">
        <v>2</v>
      </c>
      <c r="C73" s="10">
        <f>((B3+B10+B11+B24+B28+B32+B9+B6)/100+1)*PRODUCT(C72,270)</f>
        <v>392914.80000000005</v>
      </c>
      <c r="D73" s="10">
        <f>((B3+B10+B11+B24+B28+B32+B8+B5)/100+1)*PRODUCT(D72,300)</f>
        <v>387503.99999999994</v>
      </c>
      <c r="E73" s="10">
        <f>((B3+B10+B11+B24+B28+B32+B8+B5)/100+1)*PRODUCT(E72,540)</f>
        <v>388249.19999999995</v>
      </c>
      <c r="F73" s="10"/>
      <c r="G73" s="14"/>
      <c r="H73" s="14"/>
      <c r="I73" s="14"/>
    </row>
    <row r="74" spans="1:9" x14ac:dyDescent="0.25">
      <c r="A74" s="3"/>
      <c r="B74" s="14" t="s">
        <v>29</v>
      </c>
      <c r="C74" s="13">
        <f>ROUNDDOWN(((B24+B25+B26+B28+B29+B30+B31)/100+1)*2.01*0.77*PRODUCT(C72,90)/132000,0)</f>
        <v>2</v>
      </c>
      <c r="D74" s="14">
        <f>ROUNDDOWN(((B23+B25+B26+B27+B28+B29+B30+B31)/100+1)*1.65*0.76*PRODUCT(D72,100)/19500,0)</f>
        <v>12</v>
      </c>
      <c r="E74" s="14">
        <f>ROUNDDOWN(((B23+B25+B26+B27+B28+B29+B30+B31)/100+1)*1.98*0.695*PRODUCT(E72,180)/19500,0)</f>
        <v>13</v>
      </c>
      <c r="F74" s="14"/>
      <c r="G74" s="14">
        <f>SUM(D74:E74)</f>
        <v>25</v>
      </c>
      <c r="H74" s="14"/>
      <c r="I74" s="14">
        <f>G74*B21</f>
        <v>125</v>
      </c>
    </row>
    <row r="75" spans="1:9" x14ac:dyDescent="0.25">
      <c r="A75" s="3"/>
      <c r="B75" s="41" t="s">
        <v>31</v>
      </c>
      <c r="C75" s="41">
        <f>C72*B19/1000</f>
        <v>490.87200000000001</v>
      </c>
      <c r="D75" s="41">
        <f>D72*B15/1000</f>
        <v>507.31200000000001</v>
      </c>
      <c r="E75" s="41">
        <f>E72*B16/1000</f>
        <v>470.98399999999998</v>
      </c>
      <c r="F75" s="41"/>
      <c r="G75" s="41">
        <f>SUM(C75:E75)</f>
        <v>1469.1679999999999</v>
      </c>
      <c r="H75" s="11">
        <f>G75/G74</f>
        <v>58.766719999999992</v>
      </c>
      <c r="I75" s="41">
        <f>B21*G75</f>
        <v>7345.8399999999992</v>
      </c>
    </row>
    <row r="76" spans="1:9" x14ac:dyDescent="0.25">
      <c r="A76" s="3"/>
      <c r="B76" s="14" t="s">
        <v>34</v>
      </c>
      <c r="C76" s="14"/>
      <c r="D76" s="14"/>
      <c r="E76" s="14"/>
      <c r="F76" s="14"/>
      <c r="G76" s="14">
        <f>(19500*G74/2+19500*G74*B33/200)/1000</f>
        <v>487.5</v>
      </c>
      <c r="H76" s="14">
        <f>G75/G76</f>
        <v>3.0136779487179486</v>
      </c>
      <c r="I76" s="14">
        <f>B21*G76</f>
        <v>2437.5</v>
      </c>
    </row>
    <row r="77" spans="1:9" x14ac:dyDescent="0.25">
      <c r="A77" s="3"/>
      <c r="B77" s="14" t="s">
        <v>35</v>
      </c>
      <c r="C77" s="14"/>
      <c r="D77" s="14"/>
      <c r="E77" s="14"/>
      <c r="F77" s="14"/>
      <c r="G77" s="14">
        <f>(19500*G74+19500*G74*B34/100)/1000</f>
        <v>975</v>
      </c>
      <c r="H77" s="14">
        <f>G75/G77</f>
        <v>1.5068389743589743</v>
      </c>
      <c r="I77" s="14">
        <f>B21*G77</f>
        <v>4875</v>
      </c>
    </row>
    <row r="79" spans="1:9" x14ac:dyDescent="0.25">
      <c r="A79" s="3" t="s">
        <v>123</v>
      </c>
      <c r="B79" s="14"/>
      <c r="C79" s="14" t="s">
        <v>0</v>
      </c>
      <c r="D79" s="14" t="s">
        <v>1</v>
      </c>
      <c r="E79" s="14" t="s">
        <v>3</v>
      </c>
      <c r="F79" s="14"/>
      <c r="G79" s="14" t="s">
        <v>16</v>
      </c>
      <c r="H79" s="14" t="s">
        <v>13</v>
      </c>
      <c r="I79" s="14" t="s">
        <v>15</v>
      </c>
    </row>
    <row r="80" spans="1:9" x14ac:dyDescent="0.25">
      <c r="A80" s="3"/>
      <c r="B80" s="37" t="s">
        <v>17</v>
      </c>
      <c r="C80" s="9">
        <f>ROUNDUP((B36-2*D80-2*E80),0)</f>
        <v>1594</v>
      </c>
      <c r="D80" s="9">
        <f>ROUNDDOWN((1.8*E80-1),0)</f>
        <v>773</v>
      </c>
      <c r="E80" s="9">
        <f>ROUNDDOWN((B36/9.19-B36*(B8+B5-B7-B4)/2400),0)</f>
        <v>430</v>
      </c>
      <c r="F80" s="9"/>
      <c r="G80" s="14"/>
      <c r="H80" s="14"/>
      <c r="I80" s="14"/>
    </row>
    <row r="81" spans="1:9" x14ac:dyDescent="0.25">
      <c r="A81" s="3"/>
      <c r="B81" s="10" t="s">
        <v>2</v>
      </c>
      <c r="C81" s="10">
        <f>((B3+B10+B11+B24+B28+B32+B7+B4)/100+1)*PRODUCT(C80,150)</f>
        <v>322785</v>
      </c>
      <c r="D81" s="10">
        <f>((B3+B10+B11+B24+B28+B32+B8+B5)/100+1)*PRODUCT(D80,300)</f>
        <v>320022</v>
      </c>
      <c r="E81" s="10">
        <f>((B3+B10+B11+B24+B28+B32+B8+B5)/100+1)*PRODUCT(E80,540)</f>
        <v>320436</v>
      </c>
      <c r="F81" s="10"/>
      <c r="G81" s="14"/>
      <c r="H81" s="14"/>
      <c r="I81" s="14"/>
    </row>
    <row r="82" spans="1:9" x14ac:dyDescent="0.25">
      <c r="A82" s="3"/>
      <c r="B82" s="14" t="s">
        <v>29</v>
      </c>
      <c r="C82" s="13">
        <f>ROUNDDOWN(((B22+B25+B26+B28+B29+B30+B31)/100+1)*1.39*0.77*PRODUCT(C80,50)/150000,0)</f>
        <v>1</v>
      </c>
      <c r="D82" s="14">
        <f>ROUNDDOWN(((B23+B25+B26+B27+B28+B29+B30+B31)/100+1)*1.65*0.76*PRODUCT(D80,100)/19500,0)</f>
        <v>10</v>
      </c>
      <c r="E82" s="14">
        <f>ROUNDDOWN(((B23+B25+B26+B27+B28+B29+B30+B31)/100+1)*1.98*0.695*PRODUCT(E80,180)/19500,0)</f>
        <v>11</v>
      </c>
      <c r="F82" s="14"/>
      <c r="G82" s="14">
        <f>SUM(D82:E82)</f>
        <v>21</v>
      </c>
      <c r="H82" s="14"/>
      <c r="I82" s="14">
        <f>G82*B21</f>
        <v>105</v>
      </c>
    </row>
    <row r="83" spans="1:9" x14ac:dyDescent="0.25">
      <c r="A83" s="3"/>
      <c r="B83" s="41" t="s">
        <v>31</v>
      </c>
      <c r="C83" s="41">
        <f>C80*B12/1000</f>
        <v>431.97399999999999</v>
      </c>
      <c r="D83" s="41">
        <f>D80*B15/1000</f>
        <v>418.96600000000001</v>
      </c>
      <c r="E83" s="41">
        <f>E80*B16/1000</f>
        <v>388.72</v>
      </c>
      <c r="F83" s="41"/>
      <c r="G83" s="41">
        <f>SUM(C83:E83)</f>
        <v>1239.6600000000001</v>
      </c>
      <c r="H83" s="11">
        <f>G83/G82</f>
        <v>59.031428571428577</v>
      </c>
      <c r="I83" s="41">
        <f>B21*G83</f>
        <v>6198.3</v>
      </c>
    </row>
    <row r="84" spans="1:9" x14ac:dyDescent="0.25">
      <c r="A84" s="3"/>
      <c r="B84" s="14" t="s">
        <v>34</v>
      </c>
      <c r="C84" s="14"/>
      <c r="D84" s="14"/>
      <c r="E84" s="14"/>
      <c r="F84" s="14"/>
      <c r="G84" s="14">
        <f>(19500*G82/2+19500*G82*B33/200)/1000</f>
        <v>409.5</v>
      </c>
      <c r="H84" s="14">
        <f>G83/G84</f>
        <v>3.0272527472527475</v>
      </c>
      <c r="I84" s="14">
        <f>B21*G84</f>
        <v>2047.5</v>
      </c>
    </row>
    <row r="85" spans="1:9" x14ac:dyDescent="0.25">
      <c r="A85" s="3"/>
      <c r="B85" s="14" t="s">
        <v>35</v>
      </c>
      <c r="C85" s="14"/>
      <c r="D85" s="14"/>
      <c r="E85" s="14"/>
      <c r="F85" s="14"/>
      <c r="G85" s="14">
        <f>(19500*G82+19500*G82*B34/100)/1000</f>
        <v>819</v>
      </c>
      <c r="H85" s="14">
        <f>G83/G85</f>
        <v>1.5136263736263738</v>
      </c>
      <c r="I85" s="14">
        <f>B21*G85</f>
        <v>4095</v>
      </c>
    </row>
    <row r="87" spans="1:9" x14ac:dyDescent="0.25">
      <c r="A87" s="3" t="s">
        <v>124</v>
      </c>
      <c r="B87" s="14"/>
      <c r="C87" s="14" t="s">
        <v>82</v>
      </c>
      <c r="D87" s="14" t="s">
        <v>1</v>
      </c>
      <c r="E87" s="14" t="s">
        <v>3</v>
      </c>
      <c r="F87" s="14"/>
      <c r="G87" s="14" t="s">
        <v>16</v>
      </c>
      <c r="H87" s="14" t="s">
        <v>13</v>
      </c>
      <c r="I87" s="14" t="s">
        <v>15</v>
      </c>
    </row>
    <row r="88" spans="1:9" x14ac:dyDescent="0.25">
      <c r="A88" s="3"/>
      <c r="B88" s="37" t="s">
        <v>17</v>
      </c>
      <c r="C88" s="9">
        <f>ROUNDUP((B36-2*D88-2*E88),0)</f>
        <v>1080</v>
      </c>
      <c r="D88" s="9">
        <f>ROUNDDOWN((1.8*E88-1),0)</f>
        <v>938</v>
      </c>
      <c r="E88" s="9">
        <f>ROUNDDOWN((B36/7.59-B36*(B8+B5-B7-B4)/2400),0)</f>
        <v>522</v>
      </c>
      <c r="F88" s="9"/>
      <c r="G88" s="14"/>
      <c r="H88" s="14"/>
      <c r="I88" s="14"/>
    </row>
    <row r="89" spans="1:9" x14ac:dyDescent="0.25">
      <c r="A89" s="3"/>
      <c r="B89" s="10" t="s">
        <v>2</v>
      </c>
      <c r="C89" s="10">
        <f>((B3+B10+B11+B24+B28+B32+B7+B4)/100+1)*PRODUCT(C88,270)</f>
        <v>393660</v>
      </c>
      <c r="D89" s="10">
        <f>((B3+B10+B11+B24+B28+B32+B8+B5)/100+1)*PRODUCT(D88,300)</f>
        <v>388331.99999999994</v>
      </c>
      <c r="E89" s="10">
        <f>((B3+B10+B11+B24+B28+B32+B8+B5)/100+1)*PRODUCT(E88,540)</f>
        <v>388994.39999999997</v>
      </c>
      <c r="F89" s="10"/>
      <c r="G89" s="14"/>
      <c r="H89" s="14"/>
      <c r="I89" s="14"/>
    </row>
    <row r="90" spans="1:9" x14ac:dyDescent="0.25">
      <c r="A90" s="3"/>
      <c r="B90" s="14" t="s">
        <v>29</v>
      </c>
      <c r="C90" s="13">
        <f>ROUNDDOWN(((B22+B25+B26+B28+B29+B30+B31)/100+1)*1.59*0.77*PRODUCT(C88,90)/150000,0)</f>
        <v>1</v>
      </c>
      <c r="D90" s="14">
        <f>ROUNDDOWN(((B23+B25+B26+B27+B28+B29+B30+B31)/100+1)*1.65*0.76*PRODUCT(D88,100)/19500,0)</f>
        <v>12</v>
      </c>
      <c r="E90" s="14">
        <f>ROUNDDOWN(((B23+B25+B26+B27+B28+B29+B30+B31)/100+1)*1.98*0.695*PRODUCT(E88,180)/19500,0)</f>
        <v>13</v>
      </c>
      <c r="F90" s="14"/>
      <c r="G90" s="14">
        <f>SUM(D90:E90)</f>
        <v>25</v>
      </c>
      <c r="H90" s="14"/>
      <c r="I90" s="14">
        <f>G90*B21</f>
        <v>125</v>
      </c>
    </row>
    <row r="91" spans="1:9" x14ac:dyDescent="0.25">
      <c r="A91" s="3"/>
      <c r="B91" s="41" t="s">
        <v>31</v>
      </c>
      <c r="C91" s="41">
        <f>C88*B12/1000</f>
        <v>292.68</v>
      </c>
      <c r="D91" s="41">
        <f>D88*B15/1000</f>
        <v>508.39600000000002</v>
      </c>
      <c r="E91" s="41">
        <f>E88*B16/1000</f>
        <v>471.88799999999998</v>
      </c>
      <c r="F91" s="41"/>
      <c r="G91" s="41">
        <f>SUM(C91:E91)</f>
        <v>1272.9639999999999</v>
      </c>
      <c r="H91" s="11">
        <f>G91/G90</f>
        <v>50.918559999999999</v>
      </c>
      <c r="I91" s="41">
        <f>B21*G91</f>
        <v>6364.82</v>
      </c>
    </row>
    <row r="92" spans="1:9" x14ac:dyDescent="0.25">
      <c r="A92" s="3"/>
      <c r="B92" s="14" t="s">
        <v>34</v>
      </c>
      <c r="C92" s="14"/>
      <c r="D92" s="14"/>
      <c r="E92" s="14"/>
      <c r="F92" s="14"/>
      <c r="G92" s="14">
        <f>(19500*G90/2+19500*G90*B33/200)/1000</f>
        <v>487.5</v>
      </c>
      <c r="H92" s="14">
        <f>G91/G92</f>
        <v>2.6112082051282051</v>
      </c>
      <c r="I92" s="14">
        <f>B21*G92</f>
        <v>2437.5</v>
      </c>
    </row>
    <row r="93" spans="1:9" x14ac:dyDescent="0.25">
      <c r="A93" s="3"/>
      <c r="B93" s="14" t="s">
        <v>35</v>
      </c>
      <c r="C93" s="14"/>
      <c r="D93" s="14"/>
      <c r="E93" s="14"/>
      <c r="F93" s="14"/>
      <c r="G93" s="14">
        <f>(19500*G90+19500*G90*B34/100)/1000</f>
        <v>975</v>
      </c>
      <c r="H93" s="14">
        <f>G91/G93</f>
        <v>1.3056041025641025</v>
      </c>
      <c r="I93" s="14">
        <f>B21*G93</f>
        <v>4875</v>
      </c>
    </row>
    <row r="95" spans="1:9" x14ac:dyDescent="0.25">
      <c r="A95" s="1" t="s">
        <v>37</v>
      </c>
      <c r="B95" s="12"/>
      <c r="C95" s="12" t="s">
        <v>1</v>
      </c>
      <c r="D95" s="12" t="s">
        <v>3</v>
      </c>
      <c r="E95" s="12" t="s">
        <v>33</v>
      </c>
      <c r="F95" s="12"/>
      <c r="G95" s="12" t="s">
        <v>16</v>
      </c>
      <c r="H95" s="12" t="s">
        <v>13</v>
      </c>
      <c r="I95" s="12" t="s">
        <v>15</v>
      </c>
    </row>
    <row r="96" spans="1:9" x14ac:dyDescent="0.25">
      <c r="A96" s="1"/>
      <c r="B96" s="37" t="s">
        <v>17</v>
      </c>
      <c r="C96" s="9">
        <f>ROUNDDOWN(B36/2,0)-D96-E96</f>
        <v>1085</v>
      </c>
      <c r="D96" s="9">
        <f>ROUNDDOWN((1.75*E96),0)</f>
        <v>582</v>
      </c>
      <c r="E96" s="9">
        <f>ROUNDDOWN((B36/11.9-B36*(B8+B5-B7-B4)/5500),0)</f>
        <v>333</v>
      </c>
      <c r="F96" s="12"/>
      <c r="G96" s="12"/>
      <c r="H96" s="12"/>
      <c r="I96" s="12"/>
    </row>
    <row r="97" spans="1:9" x14ac:dyDescent="0.25">
      <c r="A97" s="1"/>
      <c r="B97" s="10" t="s">
        <v>2</v>
      </c>
      <c r="C97" s="10">
        <f>((B3+B10+B11+B24+B28+B32+B8+B5)/100+1)*PRODUCT(C96,300)</f>
        <v>449189.99999999994</v>
      </c>
      <c r="D97" s="10">
        <f>((B3+B10+B11+B24+B28+B32+B8+B5)/100+1)*PRODUCT(D96,540)</f>
        <v>433706.39999999997</v>
      </c>
      <c r="E97" s="10">
        <f>((B3+B10+B11+B24+B28+B32+B8+B5)/100+1)*PRODUCT(E96,960)</f>
        <v>441158.39999999997</v>
      </c>
      <c r="F97" s="12"/>
      <c r="G97" s="12"/>
      <c r="H97" s="12"/>
      <c r="I97" s="12"/>
    </row>
    <row r="98" spans="1:9" x14ac:dyDescent="0.25">
      <c r="A98" s="1"/>
      <c r="B98" s="12" t="s">
        <v>29</v>
      </c>
      <c r="C98" s="12">
        <f>ROUNDDOWN(((B22+B23+B25+B26)/100+1)*1.65*0.76*PRODUCT(C96,100)/19500,0)</f>
        <v>10</v>
      </c>
      <c r="D98" s="12">
        <f>ROUNDDOWN(((B23+B25+B26+B27+B28+B29+B30+B31)/100+1)*1.98*0.695*PRODUCT(D96,180)/19500,0)</f>
        <v>15</v>
      </c>
      <c r="E98" s="12">
        <f>ROUNDDOWN(((B23+B25+B26+B27+B28+B29+B30+B31)/100+1)*2.46*PRODUCT(E96,320)/19500,0)</f>
        <v>27</v>
      </c>
      <c r="F98" s="12"/>
      <c r="G98" s="13">
        <f>C98+D98+E98</f>
        <v>52</v>
      </c>
      <c r="H98" s="23">
        <f>G100/G98</f>
        <v>29.495730769230768</v>
      </c>
      <c r="I98" s="12">
        <f>G98*B21</f>
        <v>260</v>
      </c>
    </row>
    <row r="99" spans="1:9" x14ac:dyDescent="0.25">
      <c r="A99" s="1"/>
      <c r="B99" s="12" t="s">
        <v>29</v>
      </c>
      <c r="C99" s="13">
        <v>0</v>
      </c>
      <c r="D99" s="12">
        <f>ROUNDDOWN(((B23+B25+B26+B27+B28+B29+B30+B31)/100+1)*1.98*0.695*PRODUCT(D96,180)/19500,0)</f>
        <v>15</v>
      </c>
      <c r="E99" s="12">
        <f>ROUNDDOWN(((B23+B25+B26+B27+B28+B29+B30+B31)/100+1)*2.46*PRODUCT(E96,320)/19500,0)</f>
        <v>27</v>
      </c>
      <c r="F99" s="12"/>
      <c r="G99" s="13">
        <f>C99+D99+E99</f>
        <v>42</v>
      </c>
      <c r="H99" s="23">
        <f>G100/G99</f>
        <v>36.518523809523813</v>
      </c>
      <c r="I99" s="12">
        <f>G99*B21</f>
        <v>210</v>
      </c>
    </row>
    <row r="100" spans="1:9" x14ac:dyDescent="0.25">
      <c r="A100" s="1"/>
      <c r="B100" s="41" t="s">
        <v>31</v>
      </c>
      <c r="C100" s="41">
        <f>C96*B15/1000</f>
        <v>588.07000000000005</v>
      </c>
      <c r="D100" s="41">
        <f>D96*B16/1000</f>
        <v>526.12800000000004</v>
      </c>
      <c r="E100" s="41">
        <f>E96*B17/1000</f>
        <v>419.58</v>
      </c>
      <c r="F100" s="41"/>
      <c r="G100" s="41">
        <f>SUM(C100:E100)</f>
        <v>1533.778</v>
      </c>
      <c r="H100" s="11">
        <f>G100/(0.5*C98+D98+E98)</f>
        <v>32.633574468085108</v>
      </c>
      <c r="I100" s="41">
        <f>B21*G100</f>
        <v>7668.89</v>
      </c>
    </row>
    <row r="101" spans="1:9" x14ac:dyDescent="0.25">
      <c r="A101" s="1"/>
      <c r="B101" s="12" t="s">
        <v>34</v>
      </c>
      <c r="C101" s="12"/>
      <c r="D101" s="12"/>
      <c r="E101" s="12"/>
      <c r="F101" s="12"/>
      <c r="G101" s="12">
        <f>(19500*G99/2+19500*G99*B33/200)/1000</f>
        <v>819</v>
      </c>
      <c r="H101" s="12">
        <f>G100/G101</f>
        <v>1.8727448107448108</v>
      </c>
      <c r="I101" s="12">
        <f>B21*G101</f>
        <v>4095</v>
      </c>
    </row>
    <row r="102" spans="1:9" x14ac:dyDescent="0.25">
      <c r="A102" s="1"/>
      <c r="B102" s="12" t="s">
        <v>35</v>
      </c>
      <c r="C102" s="12"/>
      <c r="D102" s="12"/>
      <c r="E102" s="12"/>
      <c r="F102" s="12"/>
      <c r="G102" s="12">
        <f>(19500*G99+19500*G99*B34/100)/1000</f>
        <v>1638</v>
      </c>
      <c r="H102" s="12">
        <f>G100/G102</f>
        <v>0.9363724053724054</v>
      </c>
      <c r="I102" s="12">
        <f>B21*G102</f>
        <v>8190</v>
      </c>
    </row>
    <row r="103" spans="1:9" x14ac:dyDescent="0.25">
      <c r="A103" s="2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5">
      <c r="A104" s="21" t="s">
        <v>127</v>
      </c>
      <c r="B104" s="22"/>
      <c r="C104" s="22" t="s">
        <v>90</v>
      </c>
      <c r="D104" s="22" t="s">
        <v>1</v>
      </c>
      <c r="E104" s="22" t="s">
        <v>3</v>
      </c>
      <c r="F104" s="22" t="s">
        <v>33</v>
      </c>
      <c r="G104" s="22" t="s">
        <v>16</v>
      </c>
      <c r="H104" s="22" t="s">
        <v>13</v>
      </c>
      <c r="I104" s="22" t="s">
        <v>15</v>
      </c>
    </row>
    <row r="105" spans="1:9" x14ac:dyDescent="0.25">
      <c r="A105" s="21"/>
      <c r="B105" s="37" t="s">
        <v>17</v>
      </c>
      <c r="C105" s="9">
        <f>ROUNDUP((B36-2*D105-2*E105-2*F105),0)</f>
        <v>960</v>
      </c>
      <c r="D105" s="9">
        <f>ROUNDDOWN((1.8*E105),0)</f>
        <v>811</v>
      </c>
      <c r="E105" s="9">
        <f>ROUNDDOWN((1.75*F105),0)</f>
        <v>451</v>
      </c>
      <c r="F105" s="9">
        <f>ROUNDDOWN((B36/15.35-B36*(B8+B5-B7-B4)/5500),0)</f>
        <v>258</v>
      </c>
      <c r="G105" s="22"/>
      <c r="H105" s="22"/>
      <c r="I105" s="22"/>
    </row>
    <row r="106" spans="1:9" x14ac:dyDescent="0.25">
      <c r="A106" s="21"/>
      <c r="B106" s="10" t="s">
        <v>2</v>
      </c>
      <c r="C106" s="10">
        <f>((B3+B10+B11+B24+B28+B32+B9+B6)/100+1)*PRODUCT(C105,270)</f>
        <v>347328</v>
      </c>
      <c r="D106" s="10">
        <f>((B3+B10+B11+B24+B28+B32+B8+B5)/100+1)*PRODUCT(D105,300)</f>
        <v>335754</v>
      </c>
      <c r="E106" s="10">
        <f>((B3+B10+B11+B24+B28+B32+B8+B5)/100+1)*PRODUCT(E105,540)</f>
        <v>336085.19999999995</v>
      </c>
      <c r="F106" s="10">
        <f>((B3+B10+B11+B24+B28+B32+B8+B5)/100+1)*PRODUCT(F105,960)</f>
        <v>341798.39999999997</v>
      </c>
      <c r="G106" s="22"/>
      <c r="H106" s="22"/>
      <c r="I106" s="22"/>
    </row>
    <row r="107" spans="1:9" x14ac:dyDescent="0.25">
      <c r="A107" s="21"/>
      <c r="B107" s="22" t="s">
        <v>29</v>
      </c>
      <c r="C107" s="13">
        <f>ROUNDDOWN(((B24+B25+B26+B28+B29+B30+B31)/100+1)*2.01*0.77*PRODUCT(C105,90)/132000,0)</f>
        <v>1</v>
      </c>
      <c r="D107" s="22">
        <f>ROUNDDOWN(((B23+B25+B26+B27+B28+B29+B30+B31)/100+1)*1.65*0.77*PRODUCT(D105,100)/19500,0)</f>
        <v>10</v>
      </c>
      <c r="E107" s="22">
        <f>ROUNDDOWN(((B23+B25+B26+B27+B28+B29+B30+B31)/100+1)*1.98*0.695*PRODUCT(E105,180)/19500,0)</f>
        <v>11</v>
      </c>
      <c r="F107" s="22">
        <f>ROUNDDOWN(((B23+B25+B26+B27+B28+B29+B30+B31)/100+1)*2.46*0.645*PRODUCT(F105,320)/19500,0)</f>
        <v>13</v>
      </c>
      <c r="G107" s="22">
        <f>SUM(D107:F107)</f>
        <v>34</v>
      </c>
      <c r="H107" s="22"/>
      <c r="I107" s="22">
        <f>G107*B21</f>
        <v>170</v>
      </c>
    </row>
    <row r="108" spans="1:9" x14ac:dyDescent="0.25">
      <c r="A108" s="21"/>
      <c r="B108" s="41" t="s">
        <v>31</v>
      </c>
      <c r="C108" s="41">
        <f>C105*B19/1000</f>
        <v>433.92</v>
      </c>
      <c r="D108" s="41">
        <f>D105*B15/1000</f>
        <v>439.56200000000001</v>
      </c>
      <c r="E108" s="41">
        <f>E105*B16/1000</f>
        <v>407.70400000000001</v>
      </c>
      <c r="F108" s="41">
        <f>F105*B17/1000</f>
        <v>325.08</v>
      </c>
      <c r="G108" s="41">
        <f>SUM(C108:F108)</f>
        <v>1606.2659999999998</v>
      </c>
      <c r="H108" s="11">
        <f>G108/G107</f>
        <v>47.243117647058817</v>
      </c>
      <c r="I108" s="41">
        <f>B21*G108</f>
        <v>8031.329999999999</v>
      </c>
    </row>
    <row r="109" spans="1:9" x14ac:dyDescent="0.25">
      <c r="A109" s="21"/>
      <c r="B109" s="22" t="s">
        <v>34</v>
      </c>
      <c r="C109" s="22"/>
      <c r="D109" s="22"/>
      <c r="E109" s="22"/>
      <c r="F109" s="22"/>
      <c r="G109" s="22">
        <f>(19500*G107/2+19500*G107*B33/200)/1000</f>
        <v>663</v>
      </c>
      <c r="H109" s="22">
        <f>G108/G109</f>
        <v>2.4227239819004525</v>
      </c>
      <c r="I109" s="22">
        <f>B21*G109</f>
        <v>3315</v>
      </c>
    </row>
    <row r="110" spans="1:9" x14ac:dyDescent="0.25">
      <c r="A110" s="21"/>
      <c r="B110" s="22" t="s">
        <v>35</v>
      </c>
      <c r="C110" s="22"/>
      <c r="D110" s="22"/>
      <c r="E110" s="22"/>
      <c r="F110" s="22"/>
      <c r="G110" s="22">
        <f>(19500*G107+19500*G107*B34/100)/1000</f>
        <v>1326</v>
      </c>
      <c r="H110" s="22">
        <f>G108/G110</f>
        <v>1.2113619909502262</v>
      </c>
      <c r="I110" s="22">
        <f>B21*G110</f>
        <v>6630</v>
      </c>
    </row>
    <row r="111" spans="1:9" x14ac:dyDescent="0.25">
      <c r="A111" s="2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5">
      <c r="A112" s="21" t="s">
        <v>128</v>
      </c>
      <c r="B112" s="22"/>
      <c r="C112" s="22" t="s">
        <v>91</v>
      </c>
      <c r="D112" s="22" t="s">
        <v>1</v>
      </c>
      <c r="E112" s="22" t="s">
        <v>3</v>
      </c>
      <c r="F112" s="22" t="s">
        <v>33</v>
      </c>
      <c r="G112" s="22" t="s">
        <v>16</v>
      </c>
      <c r="H112" s="22" t="s">
        <v>13</v>
      </c>
      <c r="I112" s="22" t="s">
        <v>15</v>
      </c>
    </row>
    <row r="113" spans="1:9" x14ac:dyDescent="0.25">
      <c r="A113" s="21"/>
      <c r="B113" s="37" t="s">
        <v>17</v>
      </c>
      <c r="C113" s="9">
        <f>ROUNDUP((B36-2*D113-2*E113-2*F113),0)</f>
        <v>602</v>
      </c>
      <c r="D113" s="9">
        <f>ROUNDDOWN((1.8*E113),0)</f>
        <v>907</v>
      </c>
      <c r="E113" s="9">
        <f>ROUNDDOWN((1.75*F113),0)</f>
        <v>504</v>
      </c>
      <c r="F113" s="9">
        <f>ROUNDDOWN((B36/13.75-B36*(B8+B5-B7-B4)/5500),0)</f>
        <v>288</v>
      </c>
      <c r="G113" s="22"/>
      <c r="H113" s="22"/>
      <c r="I113" s="22"/>
    </row>
    <row r="114" spans="1:9" x14ac:dyDescent="0.25">
      <c r="A114" s="21"/>
      <c r="B114" s="10" t="s">
        <v>2</v>
      </c>
      <c r="C114" s="10">
        <f>((B3+B10+B11+B24+B28+B32+B9+B6)/100+1)*PRODUCT(C113,480)</f>
        <v>387206.40000000002</v>
      </c>
      <c r="D114" s="10">
        <f>((B3+B10+B11+B24+B28+B32+B8+B5)/100+1)*PRODUCT(D113,300)</f>
        <v>375498</v>
      </c>
      <c r="E114" s="10">
        <f>((B3+B10+B11+B24+B28+B32+B8+B5)/100+1)*PRODUCT(E113,540)</f>
        <v>375580.8</v>
      </c>
      <c r="F114" s="10">
        <f>((B3+B10+B11+B24+B28+B32+B8+B5)/100+1)*PRODUCT(F113,960)</f>
        <v>381542.39999999997</v>
      </c>
      <c r="G114" s="22"/>
      <c r="H114" s="22"/>
      <c r="I114" s="22"/>
    </row>
    <row r="115" spans="1:9" x14ac:dyDescent="0.25">
      <c r="A115" s="21"/>
      <c r="B115" s="22" t="s">
        <v>29</v>
      </c>
      <c r="C115" s="13">
        <f>ROUNDDOWN(((B24+B25+B26+B28+B29+B30+B31)/100+1)*2.51*0.77*PRODUCT(C113,160)/132000,0)</f>
        <v>2</v>
      </c>
      <c r="D115" s="22">
        <f>ROUNDDOWN(((B23+B25+B26+B27+B28+B29+B30+B31)/100+1)*1.65*0.77*PRODUCT(D113,100)/19500,0)</f>
        <v>12</v>
      </c>
      <c r="E115" s="22">
        <f>ROUNDDOWN(((B23+B25+B26+B27+B28+B29+B30+B31)/100+1)*1.98*0.695*PRODUCT(E113,180)/19500,0)</f>
        <v>13</v>
      </c>
      <c r="F115" s="22">
        <f>ROUNDDOWN(((B23+B25+B26+B27+B28+B29+B30+B31)/100+1)*2.46*0.645*PRODUCT(F113,320)/19500,0)</f>
        <v>15</v>
      </c>
      <c r="G115" s="22">
        <f>SUM(D115:F115)</f>
        <v>40</v>
      </c>
      <c r="H115" s="22"/>
      <c r="I115" s="22">
        <f>G115*B21</f>
        <v>200</v>
      </c>
    </row>
    <row r="116" spans="1:9" x14ac:dyDescent="0.25">
      <c r="A116" s="21"/>
      <c r="B116" s="41" t="s">
        <v>31</v>
      </c>
      <c r="C116" s="41">
        <f>C113*B20/1000</f>
        <v>381.06599999999997</v>
      </c>
      <c r="D116" s="41">
        <f>D113*B15/1000</f>
        <v>491.59399999999999</v>
      </c>
      <c r="E116" s="41">
        <f>E113*B16/1000</f>
        <v>455.61599999999999</v>
      </c>
      <c r="F116" s="41">
        <f>F113*B17/1000</f>
        <v>362.88</v>
      </c>
      <c r="G116" s="41">
        <f>SUM(C116:F116)</f>
        <v>1691.1559999999999</v>
      </c>
      <c r="H116" s="11">
        <f>G116/G115</f>
        <v>42.2789</v>
      </c>
      <c r="I116" s="41">
        <f>B21*G116</f>
        <v>8455.7799999999988</v>
      </c>
    </row>
    <row r="117" spans="1:9" x14ac:dyDescent="0.25">
      <c r="A117" s="21"/>
      <c r="B117" s="22" t="s">
        <v>34</v>
      </c>
      <c r="C117" s="22"/>
      <c r="D117" s="22"/>
      <c r="E117" s="22"/>
      <c r="F117" s="22"/>
      <c r="G117" s="22">
        <f>(19500*G115/2+19500*G115*B33/200)/1000</f>
        <v>780</v>
      </c>
      <c r="H117" s="22">
        <f>G116/G117</f>
        <v>2.1681487179487178</v>
      </c>
      <c r="I117" s="22">
        <f>B21*G117</f>
        <v>3900</v>
      </c>
    </row>
    <row r="118" spans="1:9" x14ac:dyDescent="0.25">
      <c r="A118" s="21"/>
      <c r="B118" s="22" t="s">
        <v>35</v>
      </c>
      <c r="C118" s="22"/>
      <c r="D118" s="22"/>
      <c r="E118" s="22"/>
      <c r="F118" s="22"/>
      <c r="G118" s="22">
        <f>(19500*G115+19500*G115*B34/100)/1000</f>
        <v>1560</v>
      </c>
      <c r="H118" s="22">
        <f>G116/G118</f>
        <v>1.0840743589743589</v>
      </c>
      <c r="I118" s="22">
        <f>B21*G118</f>
        <v>7800</v>
      </c>
    </row>
    <row r="119" spans="1:9" x14ac:dyDescent="0.25">
      <c r="A119" s="2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5">
      <c r="A120" s="21" t="s">
        <v>125</v>
      </c>
      <c r="B120" s="22"/>
      <c r="C120" s="22" t="s">
        <v>82</v>
      </c>
      <c r="D120" s="22" t="s">
        <v>1</v>
      </c>
      <c r="E120" s="22" t="s">
        <v>3</v>
      </c>
      <c r="F120" s="22" t="s">
        <v>33</v>
      </c>
      <c r="G120" s="22" t="s">
        <v>16</v>
      </c>
      <c r="H120" s="22" t="s">
        <v>13</v>
      </c>
      <c r="I120" s="22" t="s">
        <v>15</v>
      </c>
    </row>
    <row r="121" spans="1:9" x14ac:dyDescent="0.25">
      <c r="A121" s="21"/>
      <c r="B121" s="37" t="s">
        <v>17</v>
      </c>
      <c r="C121" s="9">
        <f>ROUNDUP((B36-2*D121-2*E121-2*F121),0)</f>
        <v>960</v>
      </c>
      <c r="D121" s="9">
        <f>ROUNDDOWN((1.8*E121),0)</f>
        <v>811</v>
      </c>
      <c r="E121" s="9">
        <f>ROUNDDOWN((1.75*F121),0)</f>
        <v>451</v>
      </c>
      <c r="F121" s="9">
        <f>ROUNDDOWN((B36/15.35-B36*(B8+B5-B7-B4)/5500),0)</f>
        <v>258</v>
      </c>
      <c r="G121" s="22"/>
      <c r="H121" s="22"/>
      <c r="I121" s="22"/>
    </row>
    <row r="122" spans="1:9" x14ac:dyDescent="0.25">
      <c r="A122" s="21"/>
      <c r="B122" s="10" t="s">
        <v>2</v>
      </c>
      <c r="C122" s="10">
        <f>((B3+B10+B11+B24+B28+B32+B7+B4)/100+1)*PRODUCT(C121,270)</f>
        <v>349920</v>
      </c>
      <c r="D122" s="10">
        <f>((B3+B10+B11+B24+B28+B32+B8+B5)/100+1)*PRODUCT(D121,300)</f>
        <v>335754</v>
      </c>
      <c r="E122" s="10">
        <f>((B3+B10+B11+B24+B28+B32+B8+B5)/100+1)*PRODUCT(E121,540)</f>
        <v>336085.19999999995</v>
      </c>
      <c r="F122" s="10">
        <f>((B3+B10+B11+B24+B28+B32+B8+B5)/100+1)*PRODUCT(F121,960)</f>
        <v>341798.39999999997</v>
      </c>
      <c r="G122" s="22"/>
      <c r="H122" s="22"/>
      <c r="I122" s="22"/>
    </row>
    <row r="123" spans="1:9" x14ac:dyDescent="0.25">
      <c r="A123" s="21"/>
      <c r="B123" s="22" t="s">
        <v>29</v>
      </c>
      <c r="C123" s="13">
        <f>ROUNDDOWN(((B22+B25+B26+B28+B29+B30+B31)/100+1)*1.88*0.77*PRODUCT(C121,90)/150000,0)</f>
        <v>1</v>
      </c>
      <c r="D123" s="22">
        <f>ROUNDDOWN(((B23+B25+B26+B27+B28+B29+B30+B31)/100+1)*1.65*0.77*PRODUCT(D121,100)/19500,0)</f>
        <v>10</v>
      </c>
      <c r="E123" s="22">
        <f>ROUNDDOWN(((B23+B25+B26+B27+B28+B29+B30+B31)/100+1)*1.98*0.695*PRODUCT(E121,180)/19500,0)</f>
        <v>11</v>
      </c>
      <c r="F123" s="22">
        <f>ROUNDDOWN(((B23+B25+B26+B27+B28+B29+B30+B31)/100+1)*2.46*0.645*PRODUCT(F121,320)/19500,0)</f>
        <v>13</v>
      </c>
      <c r="G123" s="22">
        <f>SUM(D123:F123)</f>
        <v>34</v>
      </c>
      <c r="H123" s="22"/>
      <c r="I123" s="22">
        <f>G123*B21</f>
        <v>170</v>
      </c>
    </row>
    <row r="124" spans="1:9" x14ac:dyDescent="0.25">
      <c r="A124" s="21"/>
      <c r="B124" s="41" t="s">
        <v>31</v>
      </c>
      <c r="C124" s="41">
        <f>C121*B13/1000</f>
        <v>433.92</v>
      </c>
      <c r="D124" s="41">
        <f>D121*B15/1000</f>
        <v>439.56200000000001</v>
      </c>
      <c r="E124" s="41">
        <f>E121*B16/1000</f>
        <v>407.70400000000001</v>
      </c>
      <c r="F124" s="41">
        <f>F121*B17/1000</f>
        <v>325.08</v>
      </c>
      <c r="G124" s="41">
        <f>SUM(C124:F124)</f>
        <v>1606.2659999999998</v>
      </c>
      <c r="H124" s="11">
        <f>G124/G123</f>
        <v>47.243117647058817</v>
      </c>
      <c r="I124" s="41">
        <f>B21*G124</f>
        <v>8031.329999999999</v>
      </c>
    </row>
    <row r="125" spans="1:9" x14ac:dyDescent="0.25">
      <c r="A125" s="21"/>
      <c r="B125" s="22" t="s">
        <v>34</v>
      </c>
      <c r="C125" s="22"/>
      <c r="D125" s="22"/>
      <c r="E125" s="22"/>
      <c r="F125" s="22"/>
      <c r="G125" s="22">
        <f>(19500*G123/2+19500*G123*B33/200)/1000</f>
        <v>663</v>
      </c>
      <c r="H125" s="22">
        <f>G124/G125</f>
        <v>2.4227239819004525</v>
      </c>
      <c r="I125" s="22">
        <f>B21*G125</f>
        <v>3315</v>
      </c>
    </row>
    <row r="126" spans="1:9" x14ac:dyDescent="0.25">
      <c r="A126" s="21"/>
      <c r="B126" s="22" t="s">
        <v>35</v>
      </c>
      <c r="C126" s="22"/>
      <c r="D126" s="22"/>
      <c r="E126" s="22"/>
      <c r="F126" s="22"/>
      <c r="G126" s="22">
        <f>(19500*G123+19500*G123*B34/100)/1000</f>
        <v>1326</v>
      </c>
      <c r="H126" s="22">
        <f>G124/G126</f>
        <v>1.2113619909502262</v>
      </c>
      <c r="I126" s="22">
        <f>B21*G126</f>
        <v>6630</v>
      </c>
    </row>
    <row r="128" spans="1:9" x14ac:dyDescent="0.25">
      <c r="A128" s="21" t="s">
        <v>126</v>
      </c>
      <c r="B128" s="22"/>
      <c r="C128" s="22" t="s">
        <v>96</v>
      </c>
      <c r="D128" s="22" t="s">
        <v>1</v>
      </c>
      <c r="E128" s="22" t="s">
        <v>3</v>
      </c>
      <c r="F128" s="22" t="s">
        <v>33</v>
      </c>
      <c r="G128" s="22" t="s">
        <v>16</v>
      </c>
      <c r="H128" s="22" t="s">
        <v>13</v>
      </c>
      <c r="I128" s="22" t="s">
        <v>15</v>
      </c>
    </row>
    <row r="129" spans="1:9" x14ac:dyDescent="0.25">
      <c r="A129" s="21"/>
      <c r="B129" s="37" t="s">
        <v>17</v>
      </c>
      <c r="C129" s="9">
        <f>ROUNDUP((B36-2*D129-2*E129-2*F129),0)</f>
        <v>594</v>
      </c>
      <c r="D129" s="9">
        <f>ROUNDDOWN((1.8*E129),0)</f>
        <v>909</v>
      </c>
      <c r="E129" s="9">
        <f>ROUNDDOWN((1.75*F129),0)</f>
        <v>505</v>
      </c>
      <c r="F129" s="9">
        <f>ROUNDDOWN((B36/13.73-B36*(B8+B5-B7-B4)/5500),0)</f>
        <v>289</v>
      </c>
      <c r="G129" s="22"/>
      <c r="H129" s="22"/>
      <c r="I129" s="22"/>
    </row>
    <row r="130" spans="1:9" x14ac:dyDescent="0.25">
      <c r="A130" s="21"/>
      <c r="B130" s="10" t="s">
        <v>2</v>
      </c>
      <c r="C130" s="10">
        <f>((B3+B10+B11+B24+B28+B32+B7+B4)/100+1)*PRODUCT(C129,480)</f>
        <v>384912</v>
      </c>
      <c r="D130" s="10">
        <f>((B3+B10+B11+B24+B28+B32+B8+B5)/100+1)*PRODUCT(D129,300)</f>
        <v>376326</v>
      </c>
      <c r="E130" s="10">
        <f>((B3+B10+B11+B24+B28+B32+B8+B5)/100+1)*PRODUCT(E129,540)</f>
        <v>376326</v>
      </c>
      <c r="F130" s="10">
        <f>((B3+B10+B11+B24+B28+B32+B8+B5)/100+1)*PRODUCT(F129,960)</f>
        <v>382867.19999999995</v>
      </c>
      <c r="G130" s="22"/>
      <c r="H130" s="22"/>
      <c r="I130" s="22"/>
    </row>
    <row r="131" spans="1:9" x14ac:dyDescent="0.25">
      <c r="A131" s="21"/>
      <c r="B131" s="22" t="s">
        <v>29</v>
      </c>
      <c r="C131" s="13">
        <f>ROUNDDOWN(((B22+B25+B26+B28+B29+B30+B31)/100+1)*1.88*0.77*PRODUCT(C129,160)/150000,0)</f>
        <v>1</v>
      </c>
      <c r="D131" s="22">
        <f>ROUNDDOWN(((B23+B25+B26+B27+B28+B29+B30+B31)/100+1)*1.65*0.77*PRODUCT(D129,100)/19500,0)</f>
        <v>12</v>
      </c>
      <c r="E131" s="22">
        <f>ROUNDDOWN(((B23+B25+B26+B27+B28+B29+B30+B31)/100+1)*1.98*0.695*PRODUCT(E129,180)/19500,0)</f>
        <v>13</v>
      </c>
      <c r="F131" s="22">
        <f>ROUNDDOWN(((B23+B25+B26+B27+B28+B29+B30+B31)/100+1)*2.46*0.645*PRODUCT(F129,320)/19500,0)</f>
        <v>15</v>
      </c>
      <c r="G131" s="22">
        <f>SUM(D131:F131)</f>
        <v>40</v>
      </c>
      <c r="H131" s="22"/>
      <c r="I131" s="22">
        <f>G131*B21</f>
        <v>200</v>
      </c>
    </row>
    <row r="132" spans="1:9" x14ac:dyDescent="0.25">
      <c r="A132" s="21"/>
      <c r="B132" s="41" t="s">
        <v>31</v>
      </c>
      <c r="C132" s="41">
        <f>C129*B14/1000</f>
        <v>376.00200000000001</v>
      </c>
      <c r="D132" s="41">
        <f>D129*B15/1000</f>
        <v>492.678</v>
      </c>
      <c r="E132" s="41">
        <f>E129*B16/1000</f>
        <v>456.52</v>
      </c>
      <c r="F132" s="41">
        <f>F129*B17/1000</f>
        <v>364.14</v>
      </c>
      <c r="G132" s="41">
        <f>SUM(C132:F132)</f>
        <v>1689.3400000000001</v>
      </c>
      <c r="H132" s="11">
        <f>G132/G131</f>
        <v>42.233500000000006</v>
      </c>
      <c r="I132" s="41">
        <f>B21*G132</f>
        <v>8446.7000000000007</v>
      </c>
    </row>
    <row r="133" spans="1:9" x14ac:dyDescent="0.25">
      <c r="A133" s="21"/>
      <c r="B133" s="22" t="s">
        <v>34</v>
      </c>
      <c r="C133" s="22"/>
      <c r="D133" s="22"/>
      <c r="E133" s="22"/>
      <c r="F133" s="22"/>
      <c r="G133" s="22">
        <f>(19500*G131/2+19500*G131*B33/200)/1000</f>
        <v>780</v>
      </c>
      <c r="H133" s="22">
        <f>G132/G133</f>
        <v>2.1658205128205128</v>
      </c>
      <c r="I133" s="22">
        <f>B21*G133</f>
        <v>3900</v>
      </c>
    </row>
    <row r="134" spans="1:9" x14ac:dyDescent="0.25">
      <c r="A134" s="21"/>
      <c r="B134" s="22" t="s">
        <v>35</v>
      </c>
      <c r="C134" s="22"/>
      <c r="D134" s="22"/>
      <c r="E134" s="22"/>
      <c r="F134" s="22"/>
      <c r="G134" s="22">
        <f>(19500*G131+19500*G131*B34/100)/1000</f>
        <v>1560</v>
      </c>
      <c r="H134" s="22">
        <f>G132/G134</f>
        <v>1.0829102564102564</v>
      </c>
      <c r="I134" s="22">
        <f>B21*G134</f>
        <v>7800</v>
      </c>
    </row>
    <row r="137" spans="1:9" x14ac:dyDescent="0.25">
      <c r="A137" s="44" t="s">
        <v>119</v>
      </c>
      <c r="B137" s="48"/>
      <c r="C137" s="48"/>
      <c r="D137" s="48"/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22" zoomScale="90" zoomScaleNormal="90" workbookViewId="0">
      <selection activeCell="B42" sqref="B42"/>
    </sheetView>
  </sheetViews>
  <sheetFormatPr defaultRowHeight="15" x14ac:dyDescent="0.25"/>
  <cols>
    <col min="1" max="1" width="40" customWidth="1"/>
    <col min="2" max="2" width="20.85546875" customWidth="1"/>
    <col min="3" max="10" width="11.5703125" customWidth="1"/>
    <col min="11" max="11" width="13.85546875" customWidth="1"/>
    <col min="12" max="12" width="14.7109375" customWidth="1"/>
  </cols>
  <sheetData>
    <row r="1" spans="1:5" x14ac:dyDescent="0.25">
      <c r="A1" s="5" t="s">
        <v>114</v>
      </c>
    </row>
    <row r="3" spans="1:5" x14ac:dyDescent="0.25">
      <c r="A3" s="52" t="s">
        <v>136</v>
      </c>
      <c r="B3" s="53">
        <v>0</v>
      </c>
      <c r="C3" t="s">
        <v>137</v>
      </c>
    </row>
    <row r="4" spans="1:5" x14ac:dyDescent="0.25">
      <c r="A4" s="10" t="s">
        <v>129</v>
      </c>
      <c r="B4" s="7">
        <v>3</v>
      </c>
      <c r="C4" t="s">
        <v>22</v>
      </c>
    </row>
    <row r="5" spans="1:5" x14ac:dyDescent="0.25">
      <c r="A5" s="10" t="s">
        <v>65</v>
      </c>
      <c r="B5" s="7">
        <v>0</v>
      </c>
      <c r="C5" t="s">
        <v>22</v>
      </c>
    </row>
    <row r="6" spans="1:5" x14ac:dyDescent="0.25">
      <c r="A6" s="10" t="s">
        <v>66</v>
      </c>
      <c r="B6" s="7">
        <v>0</v>
      </c>
      <c r="C6" t="s">
        <v>22</v>
      </c>
    </row>
    <row r="7" spans="1:5" x14ac:dyDescent="0.25">
      <c r="A7" s="10" t="s">
        <v>88</v>
      </c>
      <c r="B7" s="7">
        <v>0</v>
      </c>
      <c r="C7" t="s">
        <v>22</v>
      </c>
    </row>
    <row r="8" spans="1:5" x14ac:dyDescent="0.25">
      <c r="A8" s="10" t="s">
        <v>67</v>
      </c>
      <c r="B8" s="7">
        <v>0</v>
      </c>
      <c r="C8" t="s">
        <v>21</v>
      </c>
    </row>
    <row r="9" spans="1:5" x14ac:dyDescent="0.25">
      <c r="A9" s="10" t="s">
        <v>68</v>
      </c>
      <c r="B9" s="7">
        <v>0</v>
      </c>
      <c r="C9" t="s">
        <v>21</v>
      </c>
    </row>
    <row r="10" spans="1:5" x14ac:dyDescent="0.25">
      <c r="A10" s="10" t="s">
        <v>89</v>
      </c>
      <c r="B10" s="7">
        <v>0</v>
      </c>
      <c r="C10" t="s">
        <v>21</v>
      </c>
    </row>
    <row r="11" spans="1:5" x14ac:dyDescent="0.25">
      <c r="A11" s="10" t="s">
        <v>130</v>
      </c>
      <c r="B11" s="7">
        <v>0</v>
      </c>
      <c r="C11" s="49" t="s">
        <v>132</v>
      </c>
    </row>
    <row r="12" spans="1:5" x14ac:dyDescent="0.25">
      <c r="A12" s="10" t="s">
        <v>131</v>
      </c>
      <c r="B12" s="7">
        <v>0</v>
      </c>
      <c r="C12" s="49" t="s">
        <v>133</v>
      </c>
    </row>
    <row r="13" spans="1:5" x14ac:dyDescent="0.25">
      <c r="A13" s="6" t="s">
        <v>18</v>
      </c>
      <c r="B13" s="7">
        <v>271</v>
      </c>
      <c r="C13" s="19" t="s">
        <v>27</v>
      </c>
      <c r="D13" s="19"/>
      <c r="E13" s="19"/>
    </row>
    <row r="14" spans="1:5" x14ac:dyDescent="0.25">
      <c r="A14" s="6" t="s">
        <v>93</v>
      </c>
      <c r="B14" s="7">
        <v>452</v>
      </c>
      <c r="C14" s="19" t="s">
        <v>27</v>
      </c>
      <c r="D14" s="19"/>
      <c r="E14" s="19"/>
    </row>
    <row r="15" spans="1:5" x14ac:dyDescent="0.25">
      <c r="A15" s="6" t="s">
        <v>97</v>
      </c>
      <c r="B15" s="7">
        <v>633</v>
      </c>
      <c r="C15" s="19" t="s">
        <v>27</v>
      </c>
      <c r="D15" s="19"/>
      <c r="E15" s="19"/>
    </row>
    <row r="16" spans="1:5" x14ac:dyDescent="0.25">
      <c r="A16" s="6" t="s">
        <v>19</v>
      </c>
      <c r="B16" s="7">
        <v>542</v>
      </c>
      <c r="C16" s="19" t="s">
        <v>27</v>
      </c>
      <c r="D16" s="19"/>
      <c r="E16" s="19"/>
    </row>
    <row r="17" spans="1:5" x14ac:dyDescent="0.25">
      <c r="A17" s="6" t="s">
        <v>20</v>
      </c>
      <c r="B17" s="7">
        <v>904</v>
      </c>
      <c r="C17" s="19" t="s">
        <v>27</v>
      </c>
      <c r="D17" s="19"/>
      <c r="E17" s="19"/>
    </row>
    <row r="18" spans="1:5" x14ac:dyDescent="0.25">
      <c r="A18" s="6" t="s">
        <v>32</v>
      </c>
      <c r="B18" s="39">
        <v>1260</v>
      </c>
      <c r="C18" s="19" t="s">
        <v>27</v>
      </c>
      <c r="D18" s="19"/>
      <c r="E18" s="19"/>
    </row>
    <row r="19" spans="1:5" x14ac:dyDescent="0.25">
      <c r="A19" s="6" t="s">
        <v>102</v>
      </c>
      <c r="B19" s="7">
        <v>271</v>
      </c>
      <c r="C19" s="19" t="s">
        <v>27</v>
      </c>
      <c r="D19" s="19"/>
      <c r="E19" s="19"/>
    </row>
    <row r="20" spans="1:5" x14ac:dyDescent="0.25">
      <c r="A20" s="6" t="s">
        <v>94</v>
      </c>
      <c r="B20" s="7">
        <v>452</v>
      </c>
      <c r="C20" s="19" t="s">
        <v>27</v>
      </c>
      <c r="D20" s="19"/>
      <c r="E20" s="19"/>
    </row>
    <row r="21" spans="1:5" ht="15.75" thickBot="1" x14ac:dyDescent="0.3">
      <c r="A21" s="17" t="s">
        <v>95</v>
      </c>
      <c r="B21" s="33">
        <v>633</v>
      </c>
      <c r="C21" s="19" t="s">
        <v>27</v>
      </c>
      <c r="D21" s="19"/>
      <c r="E21" s="19"/>
    </row>
    <row r="22" spans="1:5" ht="15.75" thickBot="1" x14ac:dyDescent="0.3">
      <c r="A22" s="50" t="s">
        <v>14</v>
      </c>
      <c r="B22" s="34">
        <v>5</v>
      </c>
      <c r="C22" s="5" t="s">
        <v>26</v>
      </c>
      <c r="D22" s="5"/>
      <c r="E22" s="5"/>
    </row>
    <row r="23" spans="1:5" x14ac:dyDescent="0.25">
      <c r="A23" s="51" t="s">
        <v>69</v>
      </c>
      <c r="B23" s="15">
        <v>25</v>
      </c>
      <c r="C23" s="25" t="s">
        <v>23</v>
      </c>
      <c r="D23" s="25"/>
      <c r="E23" s="25"/>
    </row>
    <row r="24" spans="1:5" x14ac:dyDescent="0.25">
      <c r="A24" s="51" t="s">
        <v>70</v>
      </c>
      <c r="B24" s="7">
        <v>0</v>
      </c>
      <c r="C24" s="24" t="s">
        <v>42</v>
      </c>
      <c r="D24" s="24"/>
      <c r="E24" s="24"/>
    </row>
    <row r="25" spans="1:5" x14ac:dyDescent="0.25">
      <c r="A25" s="6" t="s">
        <v>138</v>
      </c>
      <c r="B25" s="7">
        <v>0</v>
      </c>
      <c r="C25" t="s">
        <v>24</v>
      </c>
    </row>
    <row r="26" spans="1:5" x14ac:dyDescent="0.25">
      <c r="A26" s="6" t="s">
        <v>105</v>
      </c>
      <c r="B26" s="7">
        <v>0</v>
      </c>
      <c r="C26" t="s">
        <v>24</v>
      </c>
    </row>
    <row r="27" spans="1:5" x14ac:dyDescent="0.25">
      <c r="A27" s="6" t="s">
        <v>71</v>
      </c>
      <c r="B27" s="7">
        <v>3</v>
      </c>
      <c r="C27" s="25" t="s">
        <v>25</v>
      </c>
      <c r="D27" s="25"/>
      <c r="E27" s="25"/>
    </row>
    <row r="28" spans="1:5" x14ac:dyDescent="0.25">
      <c r="A28" s="6" t="s">
        <v>75</v>
      </c>
      <c r="B28" s="7">
        <v>0</v>
      </c>
      <c r="C28" t="s">
        <v>39</v>
      </c>
    </row>
    <row r="29" spans="1:5" x14ac:dyDescent="0.25">
      <c r="A29" s="6" t="s">
        <v>76</v>
      </c>
      <c r="B29" s="7">
        <v>3</v>
      </c>
      <c r="C29" t="s">
        <v>22</v>
      </c>
    </row>
    <row r="30" spans="1:5" x14ac:dyDescent="0.25">
      <c r="A30" s="6" t="s">
        <v>77</v>
      </c>
      <c r="B30" s="7">
        <v>3</v>
      </c>
      <c r="C30" t="s">
        <v>22</v>
      </c>
    </row>
    <row r="31" spans="1:5" x14ac:dyDescent="0.25">
      <c r="A31" s="6" t="s">
        <v>78</v>
      </c>
      <c r="B31" s="7">
        <v>0</v>
      </c>
      <c r="C31" t="s">
        <v>21</v>
      </c>
    </row>
    <row r="32" spans="1:5" x14ac:dyDescent="0.25">
      <c r="A32" s="6" t="s">
        <v>84</v>
      </c>
      <c r="B32" s="7">
        <v>1</v>
      </c>
      <c r="C32" t="s">
        <v>22</v>
      </c>
    </row>
    <row r="33" spans="1:12" x14ac:dyDescent="0.25">
      <c r="A33" s="6" t="s">
        <v>85</v>
      </c>
      <c r="B33" s="7">
        <v>0</v>
      </c>
      <c r="C33" t="s">
        <v>21</v>
      </c>
    </row>
    <row r="34" spans="1:12" x14ac:dyDescent="0.25">
      <c r="A34" s="6" t="s">
        <v>86</v>
      </c>
      <c r="B34" s="7">
        <v>1</v>
      </c>
      <c r="C34" t="s">
        <v>22</v>
      </c>
    </row>
    <row r="35" spans="1:12" x14ac:dyDescent="0.25">
      <c r="A35" s="6" t="s">
        <v>87</v>
      </c>
      <c r="B35" s="7">
        <v>0</v>
      </c>
      <c r="C35" t="s">
        <v>21</v>
      </c>
    </row>
    <row r="36" spans="1:12" x14ac:dyDescent="0.25">
      <c r="A36" s="6" t="s">
        <v>79</v>
      </c>
      <c r="B36" s="7">
        <v>29</v>
      </c>
      <c r="C36" s="20" t="s">
        <v>81</v>
      </c>
      <c r="D36" s="20"/>
      <c r="E36" s="20"/>
    </row>
    <row r="37" spans="1:12" x14ac:dyDescent="0.25">
      <c r="A37" s="51" t="s">
        <v>72</v>
      </c>
      <c r="B37" s="7">
        <v>25</v>
      </c>
      <c r="C37" s="24" t="s">
        <v>41</v>
      </c>
      <c r="D37" s="24"/>
      <c r="E37" s="24"/>
    </row>
    <row r="38" spans="1:12" x14ac:dyDescent="0.25">
      <c r="A38" s="51" t="s">
        <v>134</v>
      </c>
      <c r="B38" s="7">
        <v>0</v>
      </c>
      <c r="C38" s="24" t="s">
        <v>135</v>
      </c>
      <c r="D38" s="24"/>
      <c r="E38" s="24"/>
    </row>
    <row r="39" spans="1:12" x14ac:dyDescent="0.25">
      <c r="A39" s="51" t="s">
        <v>83</v>
      </c>
      <c r="B39" s="7">
        <v>100</v>
      </c>
      <c r="C39" s="25" t="s">
        <v>23</v>
      </c>
      <c r="D39" s="25"/>
      <c r="E39" s="25"/>
    </row>
    <row r="40" spans="1:12" x14ac:dyDescent="0.25">
      <c r="A40" s="51" t="s">
        <v>74</v>
      </c>
      <c r="B40" s="7">
        <v>100</v>
      </c>
      <c r="C40" s="25" t="s">
        <v>23</v>
      </c>
      <c r="D40" s="25"/>
      <c r="E40" s="25"/>
    </row>
    <row r="41" spans="1:12" ht="15.75" thickBot="1" x14ac:dyDescent="0.3">
      <c r="A41" s="17"/>
      <c r="B41" s="18"/>
    </row>
    <row r="42" spans="1:12" ht="15.75" thickBot="1" x14ac:dyDescent="0.3">
      <c r="A42" s="35" t="s">
        <v>80</v>
      </c>
      <c r="B42" s="16">
        <v>10000</v>
      </c>
    </row>
    <row r="43" spans="1:12" x14ac:dyDescent="0.25">
      <c r="A43" s="2"/>
      <c r="B43" s="2"/>
    </row>
    <row r="44" spans="1:12" x14ac:dyDescent="0.25">
      <c r="A44" s="4" t="s">
        <v>30</v>
      </c>
      <c r="B44" s="8"/>
      <c r="C44" s="8" t="s">
        <v>0</v>
      </c>
      <c r="D44" s="8" t="s">
        <v>92</v>
      </c>
      <c r="E44" s="8"/>
      <c r="F44" s="8" t="s">
        <v>1</v>
      </c>
      <c r="G44" s="8"/>
      <c r="H44" s="8"/>
      <c r="I44" s="8"/>
      <c r="J44" s="8"/>
      <c r="K44" s="8" t="s">
        <v>16</v>
      </c>
      <c r="L44" s="8" t="s">
        <v>15</v>
      </c>
    </row>
    <row r="45" spans="1:12" x14ac:dyDescent="0.25">
      <c r="A45" s="4"/>
      <c r="B45" s="8"/>
      <c r="C45" s="8">
        <f>ROUNDUP((B42-D48-2*F48),0)</f>
        <v>3918</v>
      </c>
      <c r="D45" s="8"/>
      <c r="E45" s="8"/>
      <c r="F45" s="8">
        <f>ROUNDDOWN(((B42-D48)/4.1-(B42-D48)*(B9+B6-B8-B5-B7-B10)/100),0)</f>
        <v>1756</v>
      </c>
      <c r="G45" s="8"/>
      <c r="H45" s="8"/>
      <c r="I45" s="8"/>
      <c r="J45" s="8"/>
      <c r="K45" s="8"/>
      <c r="L45" s="8"/>
    </row>
    <row r="46" spans="1:12" x14ac:dyDescent="0.25">
      <c r="A46" s="4"/>
      <c r="B46" s="10" t="s">
        <v>2</v>
      </c>
      <c r="C46" s="10">
        <f>((B3+B4+B11+B12+B25+B27+B36+B38+B8+B5)/100+1)*PRODUCT(C48,150)</f>
        <v>726570</v>
      </c>
      <c r="D46" s="10">
        <f>((B3+B4+B11+B12+B25+B27+B36+B38+B7+B10)/100+1)*PRODUCT(D48,150)</f>
        <v>566595</v>
      </c>
      <c r="E46" s="10"/>
      <c r="F46" s="10">
        <f>((B3+B4+B11+B12+B25+B27+B36+B38+B9+B6)/100+1)*PRODUCT(F48,300)</f>
        <v>665010</v>
      </c>
      <c r="G46" s="8"/>
      <c r="H46" s="8"/>
      <c r="I46" s="8"/>
      <c r="J46" s="8"/>
      <c r="K46" s="8"/>
      <c r="L46" s="8"/>
    </row>
    <row r="47" spans="1:12" x14ac:dyDescent="0.25">
      <c r="A47" s="4"/>
      <c r="B47" s="8" t="s">
        <v>29</v>
      </c>
      <c r="C47" s="8">
        <f>ROUNDDOWN(((B23+B24+B25+B27+B28+B29+B32+B33+B36+B37+B38)/100+1)*1.39*0.77*PRODUCT(C45,50)/59520,0)</f>
        <v>6</v>
      </c>
      <c r="D47" s="38">
        <v>1</v>
      </c>
      <c r="E47" s="54"/>
      <c r="F47" s="8">
        <f>ROUNDDOWN(((B23+B24+B25+B26+B27+B28+B29+B30+B31+B36+B37+B38)/100+1)*1.65*0.76*PRODUCT(F45,100)/29760,0)</f>
        <v>13</v>
      </c>
      <c r="G47" s="8"/>
      <c r="H47" s="8"/>
      <c r="I47" s="8"/>
      <c r="J47" s="8"/>
      <c r="K47" s="8">
        <f>SUM(C47:J47)</f>
        <v>20</v>
      </c>
      <c r="L47" s="8">
        <f>K47*B22</f>
        <v>100</v>
      </c>
    </row>
    <row r="48" spans="1:12" x14ac:dyDescent="0.25">
      <c r="A48" s="4"/>
      <c r="B48" s="37" t="s">
        <v>17</v>
      </c>
      <c r="C48" s="37">
        <f>ROUNDUP(59520*C47/(((B23+B24+B25+B27+B28+B29+B32+B33+B36+B37+B38)/100+1)*1.39*0.77*50),0)</f>
        <v>3588</v>
      </c>
      <c r="D48" s="37">
        <f>ROUNDUP(297600*D47/(((B23+B24+B25+B27+B28+B29+B34+B35+B36+B37+B38)/100+1)*1.67*0.685*50),0)</f>
        <v>2798</v>
      </c>
      <c r="E48" s="37"/>
      <c r="F48" s="37">
        <f>ROUNDUP(29760*F47/(((B23+B24+B25+B26+B27+B28+B29+B30+B31+B36+B37+B38)/100+1)*1.65*0.76*100),0)</f>
        <v>1642</v>
      </c>
      <c r="G48" s="8"/>
      <c r="H48" s="8"/>
      <c r="I48" s="8"/>
      <c r="J48" s="8"/>
      <c r="K48" s="8">
        <f>SUM(C48+D48+2*F48)</f>
        <v>9670</v>
      </c>
      <c r="L48" s="8"/>
    </row>
    <row r="49" spans="1:12" x14ac:dyDescent="0.25">
      <c r="A49" s="4"/>
      <c r="B49" s="41" t="s">
        <v>31</v>
      </c>
      <c r="C49" s="41">
        <f>C48*B13/1000</f>
        <v>972.34799999999996</v>
      </c>
      <c r="D49" s="41">
        <f>D48*B19/1000</f>
        <v>758.25800000000004</v>
      </c>
      <c r="E49" s="41"/>
      <c r="F49" s="41">
        <f>F48*B16/1000</f>
        <v>889.96400000000006</v>
      </c>
      <c r="G49" s="41"/>
      <c r="H49" s="41"/>
      <c r="I49" s="41"/>
      <c r="J49" s="41"/>
      <c r="K49" s="41">
        <f>SUM(C49:J49)</f>
        <v>2620.5700000000002</v>
      </c>
      <c r="L49" s="41">
        <f>B22*K49</f>
        <v>13102.85</v>
      </c>
    </row>
    <row r="50" spans="1:12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1" t="s">
        <v>28</v>
      </c>
      <c r="B51" s="12"/>
      <c r="C51" s="12" t="s">
        <v>0</v>
      </c>
      <c r="D51" s="12" t="s">
        <v>1</v>
      </c>
      <c r="E51" s="12"/>
      <c r="F51" s="12" t="s">
        <v>3</v>
      </c>
      <c r="G51" s="12" t="s">
        <v>92</v>
      </c>
      <c r="H51" s="12"/>
      <c r="I51" s="12"/>
      <c r="J51" s="12"/>
      <c r="K51" s="12" t="s">
        <v>16</v>
      </c>
      <c r="L51" s="12" t="s">
        <v>15</v>
      </c>
    </row>
    <row r="52" spans="1:12" x14ac:dyDescent="0.25">
      <c r="A52" s="1"/>
      <c r="B52" s="12"/>
      <c r="C52" s="12">
        <f>ROUNDUP((B42-2*D55-2*F55-G55),0)</f>
        <v>3142</v>
      </c>
      <c r="D52" s="12">
        <f>ROUNDDOWN((1.8*F52-1),0)</f>
        <v>1381</v>
      </c>
      <c r="E52" s="12"/>
      <c r="F52" s="12">
        <f>ROUNDDOWN(PRODUCT(B42,0.077)-2,0)</f>
        <v>768</v>
      </c>
      <c r="G52" s="12"/>
      <c r="H52" s="12"/>
      <c r="I52" s="12"/>
      <c r="J52" s="12"/>
      <c r="K52" s="12"/>
      <c r="L52" s="12"/>
    </row>
    <row r="53" spans="1:12" x14ac:dyDescent="0.25">
      <c r="A53" s="1"/>
      <c r="B53" s="10" t="s">
        <v>2</v>
      </c>
      <c r="C53" s="10">
        <f>((B3+B4+B11+B12+B25+B27+B36+B38+B8+B5)/100+1)*PRODUCT(C52,150)</f>
        <v>636255</v>
      </c>
      <c r="D53" s="10">
        <f>((B3+B4+B11+B12+B25+B27+B36+B38+B9+B6)/100+1)*PRODUCT(D52,300)</f>
        <v>559305</v>
      </c>
      <c r="E53" s="10"/>
      <c r="F53" s="10">
        <f>((B9+B6)/100+1)*PRODUCT(F52,540)</f>
        <v>414720</v>
      </c>
      <c r="G53" s="10">
        <f>((B3+B4+B11+B12+B25+B27+B36+B38+B7+B10)/100+1)*PRODUCT(G55,150)</f>
        <v>566595</v>
      </c>
      <c r="H53" s="12"/>
      <c r="I53" s="12"/>
      <c r="J53" s="12"/>
      <c r="K53" s="12"/>
      <c r="L53" s="12"/>
    </row>
    <row r="54" spans="1:12" x14ac:dyDescent="0.25">
      <c r="A54" s="1"/>
      <c r="B54" s="12" t="s">
        <v>29</v>
      </c>
      <c r="C54" s="12">
        <f>ROUNDDOWN(((B23+B24+B25+B27+B28+B29+B32+B33+B36+B37+B38)/100+1)*1.39*0.77*PRODUCT(C52,50)/59520,0)</f>
        <v>5</v>
      </c>
      <c r="D54" s="12">
        <f>ROUNDDOWN(((B23+B24+B25+B26+B27+B28+B29+B30+B31+B36+B37+B38)/100+1)*1.65*0.76*PRODUCT(D52,100)/29760,0)</f>
        <v>10</v>
      </c>
      <c r="E54" s="12"/>
      <c r="F54" s="12">
        <f>ROUNDDOWN(((B23+B24+B25+B26+B27+B28+B29+B30+B31+B36+B37+B38)/100+1)*1.98*0.695*PRODUCT(F52,180)/29760,0)</f>
        <v>12</v>
      </c>
      <c r="G54" s="38">
        <v>1</v>
      </c>
      <c r="H54" s="12"/>
      <c r="I54" s="12"/>
      <c r="J54" s="12"/>
      <c r="K54" s="12">
        <f>SUM(C54:J54)</f>
        <v>28</v>
      </c>
      <c r="L54" s="12">
        <f>K54*B22</f>
        <v>140</v>
      </c>
    </row>
    <row r="55" spans="1:12" x14ac:dyDescent="0.25">
      <c r="A55" s="1"/>
      <c r="B55" s="37" t="s">
        <v>17</v>
      </c>
      <c r="C55" s="37">
        <f>ROUNDUP(59520*C54/(((B23+B24+B25+B27+B28+B29+B32+B33+B36+B37+B38)/100+1)*1.39*0.77*50),0)</f>
        <v>2990</v>
      </c>
      <c r="D55" s="37">
        <f>ROUNDUP(29760*D54/(((B23+B24+B25+B26+B27+B28+B29+B30+B31+B36+B37+B38)/100+1)*1.65*0.76*100),0)</f>
        <v>1263</v>
      </c>
      <c r="E55" s="37"/>
      <c r="F55" s="37">
        <f>ROUNDUP(29760*F54/(((B23+B24+B25+B26+B27+B28+B29+B30+B31+B36+B37+B38)/100+1)*1.98*0.695*180),0)</f>
        <v>767</v>
      </c>
      <c r="G55" s="37">
        <f>ROUNDUP(297600*G54/(((B23+B24+B25+B27+B28+B29+B34+B35+B36+B37+B38)/100+1)*1.67*0.685*50),0)</f>
        <v>2798</v>
      </c>
      <c r="H55" s="12"/>
      <c r="I55" s="12"/>
      <c r="J55" s="12"/>
      <c r="K55" s="12">
        <f>SUM(C55+2*D55+2*F55+G55)</f>
        <v>9848</v>
      </c>
      <c r="L55" s="12"/>
    </row>
    <row r="56" spans="1:12" x14ac:dyDescent="0.25">
      <c r="A56" s="1"/>
      <c r="B56" s="41" t="s">
        <v>31</v>
      </c>
      <c r="C56" s="41">
        <f>C55*B13/1000</f>
        <v>810.29</v>
      </c>
      <c r="D56" s="41">
        <f>D55*B16/1000</f>
        <v>684.54600000000005</v>
      </c>
      <c r="E56" s="41"/>
      <c r="F56" s="41">
        <f>F55*B17/1000</f>
        <v>693.36800000000005</v>
      </c>
      <c r="G56" s="41">
        <f>D55*B19/1000</f>
        <v>342.27300000000002</v>
      </c>
      <c r="H56" s="41"/>
      <c r="I56" s="41"/>
      <c r="J56" s="41"/>
      <c r="K56" s="41">
        <f>SUM(C56:J56)</f>
        <v>2530.4770000000003</v>
      </c>
      <c r="L56" s="41">
        <f>B22*K56</f>
        <v>12652.385000000002</v>
      </c>
    </row>
    <row r="58" spans="1:12" x14ac:dyDescent="0.25">
      <c r="A58" s="3" t="s">
        <v>38</v>
      </c>
      <c r="B58" s="14"/>
      <c r="C58" s="14" t="s">
        <v>0</v>
      </c>
      <c r="D58" s="14" t="s">
        <v>82</v>
      </c>
      <c r="E58" s="14"/>
      <c r="F58" s="14" t="s">
        <v>1</v>
      </c>
      <c r="G58" s="14" t="s">
        <v>3</v>
      </c>
      <c r="H58" s="14" t="s">
        <v>92</v>
      </c>
      <c r="I58" s="14" t="s">
        <v>90</v>
      </c>
      <c r="J58" s="14"/>
      <c r="K58" s="14" t="s">
        <v>16</v>
      </c>
      <c r="L58" s="14" t="s">
        <v>15</v>
      </c>
    </row>
    <row r="59" spans="1:12" x14ac:dyDescent="0.25">
      <c r="A59" s="3"/>
      <c r="B59" s="14"/>
      <c r="C59" s="14">
        <f>ROUNDUP((B42-D62-2*F62-2*G62-H62-I62),0)</f>
        <v>1100</v>
      </c>
      <c r="D59" s="14">
        <f>ROUNDUP((B42/6),0)</f>
        <v>1667</v>
      </c>
      <c r="E59" s="14"/>
      <c r="F59" s="14">
        <f>ROUNDDOWN((1.8*G62),0)</f>
        <v>1495</v>
      </c>
      <c r="G59" s="14">
        <f>ROUNDDOWN((B42/12-2-B42*(B9+B6-B8-B5-B7-B10)/2400),0)</f>
        <v>831</v>
      </c>
      <c r="H59" s="14"/>
      <c r="I59" s="14"/>
      <c r="J59" s="14"/>
      <c r="K59" s="14"/>
      <c r="L59" s="14"/>
    </row>
    <row r="60" spans="1:12" x14ac:dyDescent="0.25">
      <c r="A60" s="3"/>
      <c r="B60" s="10" t="s">
        <v>2</v>
      </c>
      <c r="C60" s="10">
        <f>((B3+B4+B11+B12+B25+B27+B36+B38+B8+B5)/100+1)*PRODUCT(C62,150)</f>
        <v>121095.00000000001</v>
      </c>
      <c r="D60" s="10">
        <f>((B3+B4+B11+B12+B25+B27+B36+B38+B8+B5)/100+1)*PRODUCT(D62,270)</f>
        <v>605799</v>
      </c>
      <c r="E60" s="10"/>
      <c r="F60" s="10">
        <f>((B3+B4+B11+B12+B25+B27+B36+B38+B9+B6)/100+1)*PRODUCT(F62,300)</f>
        <v>562545</v>
      </c>
      <c r="G60" s="10">
        <f>((B3+B4+B11+B12+B25+B27+B36+B38+B9+B6)/100+1)*PRODUCT(G62,540)</f>
        <v>605799</v>
      </c>
      <c r="H60" s="10">
        <f>((B3+B4+B11+B12+B25+B27+B36+B38+B7+B10)/100+1)*PRODUCT(H62,150)</f>
        <v>566595</v>
      </c>
      <c r="I60" s="10">
        <f>((B3+B4+B11+B12+B25+B27+B36+B38+B7+B10)/100+1)*PRODUCT(I62,270)</f>
        <v>0</v>
      </c>
      <c r="J60" s="10"/>
      <c r="K60" s="14"/>
      <c r="L60" s="14"/>
    </row>
    <row r="61" spans="1:12" x14ac:dyDescent="0.25">
      <c r="A61" s="3"/>
      <c r="B61" s="14" t="s">
        <v>29</v>
      </c>
      <c r="C61" s="14">
        <f>ROUNDDOWN(((B23+B24+B25+B27+B28+B29+B32+B33+B36+B37+B38)/100+1)*1.39*0.77*PRODUCT(C59,50)/59520,0)</f>
        <v>1</v>
      </c>
      <c r="D61" s="14">
        <f>ROUNDDOWN(((B23+B24+B25+B27+B28+B29+B32+B33+B36+B37+B38)/100+1)*1.39*0.77*PRODUCT(D59,90)/59520,0)</f>
        <v>5</v>
      </c>
      <c r="E61" s="14"/>
      <c r="F61" s="14">
        <f>ROUNDDOWN(((B23+B24+B25+B26+B27+B28+B29+B30+B31+B36+B37+B38)/100+1)*1.65*0.76*PRODUCT(F59,100)/29760,0)</f>
        <v>11</v>
      </c>
      <c r="G61" s="14">
        <f>ROUNDDOWN(((B23+B24+B25+B26+B27+B28+B29+B30+B31+B36+B37+B38)/100+1)*1.98*0.695*PRODUCT(G59,180)/29760,0)</f>
        <v>13</v>
      </c>
      <c r="H61" s="38">
        <v>1</v>
      </c>
      <c r="I61" s="38">
        <v>0</v>
      </c>
      <c r="J61" s="14"/>
      <c r="K61" s="14">
        <f>SUM(C61:J61)</f>
        <v>31</v>
      </c>
      <c r="L61" s="14">
        <f>K61*B22</f>
        <v>155</v>
      </c>
    </row>
    <row r="62" spans="1:12" x14ac:dyDescent="0.25">
      <c r="A62" s="3"/>
      <c r="B62" s="37" t="s">
        <v>17</v>
      </c>
      <c r="C62" s="37">
        <f>ROUNDUP(59520*C61/(((B23+B24+B25+B27+B28+B29+B32+B33+B36+B37+B38)/100+1)*1.39*0.77*50),0)</f>
        <v>598</v>
      </c>
      <c r="D62" s="37">
        <f>ROUNDUP(59520*D61/(((B23+B24+B25+B27+B28+B29+B32+B33+B36+B37+B38)/100+1)*1.39*0.77*90),0)</f>
        <v>1662</v>
      </c>
      <c r="E62" s="37"/>
      <c r="F62" s="37">
        <f>ROUNDUP(29760*F61/(((B23+B24+B25+B26+B27+B28+B29+B30+B31+B36+B37+B38)/100+1)*1.65*0.76*100),0)</f>
        <v>1389</v>
      </c>
      <c r="G62" s="37">
        <f>ROUNDUP(29760*G61/(((B23+B24+B25+B26+B27+B28+B29+B30+B31+B36+B37+B38)/100+1)*1.98*0.695*180),0)</f>
        <v>831</v>
      </c>
      <c r="H62" s="6">
        <f>ROUNDUP(297600*H61/(((B23+B24+B25+B27+B28+B29+B34+B35+B36+B37+B38)/100+1)*1.67*0.685*50),0)</f>
        <v>2798</v>
      </c>
      <c r="I62" s="37">
        <f>ROUNDUP(297600*I61/(((B23+B24+B25+B27+B28+B29+B34+B35+B36+B37+B38)/100+1)*2.01*0.685*90),0)</f>
        <v>0</v>
      </c>
      <c r="J62" s="14"/>
      <c r="K62" s="14">
        <f>C62+D62+2*F62+2*G62+H62+I62</f>
        <v>9498</v>
      </c>
      <c r="L62" s="14"/>
    </row>
    <row r="63" spans="1:12" x14ac:dyDescent="0.25">
      <c r="A63" s="3"/>
      <c r="B63" s="41" t="s">
        <v>31</v>
      </c>
      <c r="C63" s="41">
        <f>C62*B13/1000</f>
        <v>162.05799999999999</v>
      </c>
      <c r="D63" s="41">
        <f>D62*B14/1000</f>
        <v>751.22400000000005</v>
      </c>
      <c r="E63" s="41"/>
      <c r="F63" s="41">
        <f>F62*B16/1000</f>
        <v>752.83799999999997</v>
      </c>
      <c r="G63" s="41">
        <f>G62*B17/1000</f>
        <v>751.22400000000005</v>
      </c>
      <c r="H63" s="41">
        <f>H62*B19/1000</f>
        <v>758.25800000000004</v>
      </c>
      <c r="I63" s="41">
        <f>I62*B20/1000</f>
        <v>0</v>
      </c>
      <c r="J63" s="41"/>
      <c r="K63" s="41">
        <f>SUM(C63:J63)</f>
        <v>3175.6019999999999</v>
      </c>
      <c r="L63" s="41">
        <f>B22*K63</f>
        <v>15878.009999999998</v>
      </c>
    </row>
    <row r="65" spans="1:12" x14ac:dyDescent="0.25">
      <c r="A65" s="21" t="s">
        <v>37</v>
      </c>
      <c r="B65" s="22"/>
      <c r="C65" s="22" t="s">
        <v>0</v>
      </c>
      <c r="D65" s="22" t="s">
        <v>82</v>
      </c>
      <c r="E65" s="22"/>
      <c r="F65" s="22" t="s">
        <v>1</v>
      </c>
      <c r="G65" s="22" t="s">
        <v>3</v>
      </c>
      <c r="H65" s="22" t="s">
        <v>33</v>
      </c>
      <c r="I65" s="22" t="s">
        <v>90</v>
      </c>
      <c r="J65" s="22" t="s">
        <v>91</v>
      </c>
      <c r="K65" s="22" t="s">
        <v>16</v>
      </c>
      <c r="L65" s="22" t="s">
        <v>15</v>
      </c>
    </row>
    <row r="66" spans="1:12" x14ac:dyDescent="0.25">
      <c r="A66" s="21"/>
      <c r="B66" s="22"/>
      <c r="C66" s="22">
        <f>ROUNDUP((B42-D69-2*F69-2*G69-2*H69-I69-J69),0)</f>
        <v>2303</v>
      </c>
      <c r="D66" s="22">
        <f>ROUNDUP((B42/7.5),0)</f>
        <v>1334</v>
      </c>
      <c r="E66" s="22"/>
      <c r="F66" s="22">
        <f>ROUNDDOWN((1.8*G66),0)</f>
        <v>1195</v>
      </c>
      <c r="G66" s="22">
        <f>ROUNDDOWN((1.35*H66),0)</f>
        <v>664</v>
      </c>
      <c r="H66" s="22">
        <f>ROUNDDOWN((B42/20.3-B42*(B9+B6-B8-B5-B7-B10)/5500),0)</f>
        <v>492</v>
      </c>
      <c r="I66" s="22"/>
      <c r="J66" s="22"/>
      <c r="K66" s="22"/>
      <c r="L66" s="22"/>
    </row>
    <row r="67" spans="1:12" x14ac:dyDescent="0.25">
      <c r="A67" s="21"/>
      <c r="B67" s="10" t="s">
        <v>2</v>
      </c>
      <c r="C67" s="10">
        <f>((B3+B4+B11+B12+B25+B27+B36+B38+B8+B5)/100+1)*PRODUCT(C69,150)</f>
        <v>363285</v>
      </c>
      <c r="D67" s="10">
        <f>((B3+B4+B11+B12+B25+B27+B36+B38+B8+B5)/100+1)*PRODUCT(D69,270)</f>
        <v>484420.50000000006</v>
      </c>
      <c r="E67" s="10"/>
      <c r="F67" s="10">
        <f>((B3+B4+B11+B12+B25+B27+B36+B38+B9+B6)/100+1)*PRODUCT(F69,300)</f>
        <v>460485.00000000006</v>
      </c>
      <c r="G67" s="10">
        <f>((B3+B4+B11+B12+B25+B27+B36+B38+B9+B6)/100+1)*PRODUCT(G69,540)</f>
        <v>466560.00000000006</v>
      </c>
      <c r="H67" s="10">
        <f>((B9+B6)/100+1)*PRODUCT(H69,960)</f>
        <v>451200</v>
      </c>
      <c r="I67" s="10">
        <f>((B3+B4+B11+B12+B25+B27+B36+B38+B7+B10)/100+1)*PRODUCT(I69,270)</f>
        <v>470934.00000000006</v>
      </c>
      <c r="J67" s="10">
        <f>((B3+B4+B11+B12+B25+B27+B36+B38+B7+B10)/100+1)*PRODUCT(J69,480)</f>
        <v>377136</v>
      </c>
      <c r="K67" s="22"/>
      <c r="L67" s="22"/>
    </row>
    <row r="68" spans="1:12" x14ac:dyDescent="0.25">
      <c r="A68" s="21"/>
      <c r="B68" s="22" t="s">
        <v>29</v>
      </c>
      <c r="C68" s="22">
        <f>ROUNDDOWN(((B23+B24+B25+B27+B28+B29+B32+B33+B36+B37+B38)/100+1)*1.39*0.77*PRODUCT(C66,50)/59520,0)</f>
        <v>3</v>
      </c>
      <c r="D68" s="22">
        <f>ROUNDDOWN(((B23+B24+B25+B27+B28+B29+B32+B33+B36+B37+B38)/100+1)*1.39*0.77*PRODUCT(D66,90)/59520,0)</f>
        <v>4</v>
      </c>
      <c r="E68" s="22"/>
      <c r="F68" s="22">
        <f>ROUNDDOWN(((B23+B24+B25+B26+B27+B28+B29+B30+B31+B36+B37+B38)/100+1)*1.65*0.77*PRODUCT(F66,100)/29760,0)</f>
        <v>9</v>
      </c>
      <c r="G68" s="22">
        <f>ROUNDDOWN(((B23+B24+B25+B26+B27+B28+B29+B30+B31+B36+B37+B38)/100+1)*1.98*0.7*PRODUCT(G66,180)/29760,0)</f>
        <v>10</v>
      </c>
      <c r="H68" s="22">
        <f>ROUNDDOWN(((B23+B24+B25+B26+B27+B28+B29+B30+B31+B36+B37+B38)/100+1)*2.46*0.685*PRODUCT(H66,320)/29760,0)</f>
        <v>16</v>
      </c>
      <c r="I68" s="38">
        <v>1</v>
      </c>
      <c r="J68" s="38">
        <v>1</v>
      </c>
      <c r="K68" s="22">
        <f>SUM(C68:J68)</f>
        <v>44</v>
      </c>
      <c r="L68" s="22">
        <f>K68*B22</f>
        <v>220</v>
      </c>
    </row>
    <row r="69" spans="1:12" x14ac:dyDescent="0.25">
      <c r="A69" s="21"/>
      <c r="B69" s="37" t="s">
        <v>17</v>
      </c>
      <c r="C69" s="37">
        <f>ROUNDUP(59520*C68/(((B23+B24+B25+B27+B28+B29+B32+B33+B36+B37+B38)/100+1)*1.39*0.77*50),0)</f>
        <v>1794</v>
      </c>
      <c r="D69" s="37">
        <f>ROUNDUP(59520*D68/(((B23+B24+B25+B27+B28+B29+B32+B33+B36+B37+B38)/100+1)*1.39*0.77*90),0)</f>
        <v>1329</v>
      </c>
      <c r="E69" s="37"/>
      <c r="F69" s="37">
        <f>ROUNDUP(29760*F68/(((B23+B24+B25+B26+B27+B28+B29+B30+B31+B36+B37+B38)/100+1)*1.65*0.76*100),0)</f>
        <v>1137</v>
      </c>
      <c r="G69" s="37">
        <f>ROUNDUP(29760*G68/(((B23+B24+B25+B26+B27+B28+B29+B30+B31+B36+B37+B38)/100+1)*1.98*0.695*180),0)</f>
        <v>640</v>
      </c>
      <c r="H69" s="37">
        <f>ROUNDUP(29760*H68/(((B23+B24+B25+B26+B27+B28+B29+B30+B31+B36+B37+B38)/100+1)*2.46*0.685*320),0)</f>
        <v>470</v>
      </c>
      <c r="I69" s="37">
        <f>ROUNDUP(297600*I68/(((B23+B24+B25+B27+B28+B29+B34+B35+B36+B37+B38)/100+1)*2.01*0.685*90),0)</f>
        <v>1292</v>
      </c>
      <c r="J69" s="37">
        <f>ROUNDUP(297600*J68/(((B23+B24+B25+B27+B28+B29+B34+B35+B36+B37+B38)/100+1)*2.51*0.685*160),0)</f>
        <v>582</v>
      </c>
      <c r="K69" s="22">
        <f>C69+D69+2*F69+2*G69+2*H69+I69+J69</f>
        <v>9491</v>
      </c>
      <c r="L69" s="22"/>
    </row>
    <row r="70" spans="1:12" x14ac:dyDescent="0.25">
      <c r="A70" s="21"/>
      <c r="B70" s="41" t="s">
        <v>31</v>
      </c>
      <c r="C70" s="41">
        <f>C69*B13/1000</f>
        <v>486.17399999999998</v>
      </c>
      <c r="D70" s="41">
        <f>D69*B14/1000</f>
        <v>600.70799999999997</v>
      </c>
      <c r="E70" s="41"/>
      <c r="F70" s="41">
        <f>F69*B16/1000</f>
        <v>616.25400000000002</v>
      </c>
      <c r="G70" s="41">
        <f>G69*B17/1000</f>
        <v>578.55999999999995</v>
      </c>
      <c r="H70" s="41">
        <f>H69*B18/1000</f>
        <v>592.20000000000005</v>
      </c>
      <c r="I70" s="41">
        <f>I69*B20/1000</f>
        <v>583.98400000000004</v>
      </c>
      <c r="J70" s="41">
        <f>J69*B21/1000</f>
        <v>368.40600000000001</v>
      </c>
      <c r="K70" s="41">
        <f>SUM(C70:J70)</f>
        <v>3826.2859999999996</v>
      </c>
      <c r="L70" s="41">
        <f>B22*K70</f>
        <v>19131.429999999997</v>
      </c>
    </row>
    <row r="72" spans="1:12" x14ac:dyDescent="0.25">
      <c r="A72" s="21" t="s">
        <v>36</v>
      </c>
      <c r="B72" s="22"/>
      <c r="C72" s="22" t="s">
        <v>0</v>
      </c>
      <c r="D72" s="22" t="s">
        <v>82</v>
      </c>
      <c r="E72" s="22" t="s">
        <v>96</v>
      </c>
      <c r="F72" s="22" t="s">
        <v>1</v>
      </c>
      <c r="G72" s="22" t="s">
        <v>3</v>
      </c>
      <c r="H72" s="22" t="s">
        <v>33</v>
      </c>
      <c r="I72" s="22" t="s">
        <v>90</v>
      </c>
      <c r="J72" s="22" t="s">
        <v>91</v>
      </c>
      <c r="K72" s="22" t="s">
        <v>16</v>
      </c>
      <c r="L72" s="22" t="s">
        <v>15</v>
      </c>
    </row>
    <row r="73" spans="1:12" x14ac:dyDescent="0.25">
      <c r="A73" s="21"/>
      <c r="B73" s="22"/>
      <c r="C73" s="22">
        <f>ROUNDUP((B42-D76-E76-2*F76-2*G76-2*H76-I76-J76),0)</f>
        <v>2178</v>
      </c>
      <c r="D73" s="22">
        <f>ROUNDUP((B42/8),0)</f>
        <v>1250</v>
      </c>
      <c r="E73" s="22">
        <f>ROUNDUP((B42/13),0)</f>
        <v>770</v>
      </c>
      <c r="F73" s="22">
        <f>ROUNDDOWN((1.8*G73),0)</f>
        <v>1180</v>
      </c>
      <c r="G73" s="22">
        <f>ROUNDDOWN((1.75*H73),0)</f>
        <v>656</v>
      </c>
      <c r="H73" s="22">
        <f>ROUNDDOWN((B42/26.6-B42*(B9+B6-B8-B5-B7-B10)/5500),0)</f>
        <v>375</v>
      </c>
      <c r="I73" s="22"/>
      <c r="J73" s="22"/>
      <c r="K73" s="22"/>
      <c r="L73" s="22"/>
    </row>
    <row r="74" spans="1:12" x14ac:dyDescent="0.25">
      <c r="A74" s="21"/>
      <c r="B74" s="10" t="s">
        <v>2</v>
      </c>
      <c r="C74" s="10">
        <f>((B3+B4+B11+B12+B25+B27+B36+B38+B8+B5)/100+1)*PRODUCT(C76,150)</f>
        <v>363285</v>
      </c>
      <c r="D74" s="10">
        <f>((B3+B4+B11+B12+B25+B27+B36+B38+B8+B5)/100+1)*PRODUCT(D76,270)</f>
        <v>363406.5</v>
      </c>
      <c r="E74" s="10">
        <f>((B3+B4+B11+B12+B25+B27+B36+B38+B8+B5)/100+1)*PRODUCT(E76,480)</f>
        <v>447768.00000000006</v>
      </c>
      <c r="F74" s="10">
        <f>((B3+B4+B11+B12+B25+B27+B36+B38+B9+B6)/100+1)*PRODUCT(F76,300)</f>
        <v>460485.00000000006</v>
      </c>
      <c r="G74" s="10">
        <f>((B3+B4+B11+B12+B25+B27+B36+B38+B9+B6)/100+1)*PRODUCT(G76,540)</f>
        <v>466560.00000000006</v>
      </c>
      <c r="H74" s="10">
        <f>((B3+B4+B11+B12+B25+B27+B36+B38+B9+B6)/100+1)*PRODUCT(H76,960)</f>
        <v>457488.00000000006</v>
      </c>
      <c r="I74" s="10">
        <f>((B3+B4+B11+B12+B25+B27+B36+B38+B7+B10)/100+1)*PRODUCT(I76,270)</f>
        <v>470934.00000000006</v>
      </c>
      <c r="J74" s="10">
        <f>((B3+B4+B11+B12+B25+B27+B36+B38+B7+B10)/100+1)*PRODUCT(J76,480)</f>
        <v>377136</v>
      </c>
      <c r="K74" s="22"/>
      <c r="L74" s="22"/>
    </row>
    <row r="75" spans="1:12" x14ac:dyDescent="0.25">
      <c r="A75" s="21"/>
      <c r="B75" s="22" t="s">
        <v>29</v>
      </c>
      <c r="C75" s="22">
        <f>ROUNDDOWN(((B23+B24+B25+B27+B28+B29+B32+B33+B36+B37+B38)/100+1)*1.39*0.77*PRODUCT(C73,50)/59520,0)</f>
        <v>3</v>
      </c>
      <c r="D75" s="22">
        <f>ROUNDDOWN(((B23+B24+B25+B27+B28+B29+B32+B33+B36+B37+B38)/100+1)*1.39*0.77*PRODUCT(D73,90)/59520,0)</f>
        <v>3</v>
      </c>
      <c r="E75" s="22">
        <f>ROUNDDOWN(((B23+B24+B25+B27+B28+B29+B32+B33+B36+B37+B38)/100+1)*1.88*0.77*PRODUCT(E73,160)/59520,0)</f>
        <v>5</v>
      </c>
      <c r="F75" s="22">
        <f>ROUNDDOWN(((B23+B24+B25+B26+B27+B28+B29+B30+B31+B36+B37+B38)/100+1)*1.65*0.77*PRODUCT(F73,100)/29760,0)</f>
        <v>9</v>
      </c>
      <c r="G75" s="22">
        <f>ROUNDDOWN(((B23+B24+B25+B26+B27+B28+B29+B30+B31+B36+B37+B38)/100+1)*1.98*0.7*PRODUCT(G73,180)/29760,0)</f>
        <v>10</v>
      </c>
      <c r="H75" s="22">
        <f>ROUNDDOWN(((B23+B24+B25+B26+B27+B28+B29+B30+B31+B36+B37+B38)/100+1)*2.46*0.685*PRODUCT(H73,320)/29760,0)</f>
        <v>12</v>
      </c>
      <c r="I75" s="38">
        <v>1</v>
      </c>
      <c r="J75" s="38">
        <v>1</v>
      </c>
      <c r="K75" s="22">
        <f>SUM(C75:J75)</f>
        <v>44</v>
      </c>
      <c r="L75" s="22">
        <f>K75*B29</f>
        <v>132</v>
      </c>
    </row>
    <row r="76" spans="1:12" x14ac:dyDescent="0.25">
      <c r="A76" s="21"/>
      <c r="B76" s="37" t="s">
        <v>17</v>
      </c>
      <c r="C76" s="37">
        <f>ROUNDUP(59520*C75/(((B23+B24+B25+B27+B28+B29+B32+B33+B36+B37+B38)/100+1)*1.39*0.77*50),0)</f>
        <v>1794</v>
      </c>
      <c r="D76" s="37">
        <f>ROUNDUP(59520*D75/(((B23+B24+B25+B27+B28+B29+B32+B33+B36+B37+B38)/100+1)*1.39*0.77*90),0)</f>
        <v>997</v>
      </c>
      <c r="E76" s="37">
        <f>ROUNDUP(59520*E75/(((B23+B24+B25+B27+B28+B29+B32+B33+B36+B37+B38)/100+1)*1.88*0.77*160),0)</f>
        <v>691</v>
      </c>
      <c r="F76" s="37">
        <f>ROUNDUP(29760*F75/(((B23+B24+B25+B26+B27+B28+B29+B30+B31+B36+B37+B38)/100+1)*1.65*0.76*100),0)</f>
        <v>1137</v>
      </c>
      <c r="G76" s="37">
        <f>ROUNDUP(29760*G75/(((B23+B24+B25+B26+B27+B28+B29+B30+B31+B36+B37+B38)/100+1)*1.98*0.695*180),0)</f>
        <v>640</v>
      </c>
      <c r="H76" s="37">
        <f>ROUNDUP(29760*H75/(((B23+B24+B25+B26+B27+B28+B29+B30+B31+B36+B37+B38)/100+1)*2.46*0.685*320),0)</f>
        <v>353</v>
      </c>
      <c r="I76" s="37">
        <f>ROUNDUP(297600*I75/(((B23+B24+B25+B27+B28+B29+B34+B35+B36+B37+B38)/100+1)*2.01*0.685*90),0)</f>
        <v>1292</v>
      </c>
      <c r="J76" s="37">
        <f>ROUNDUP(297600*J75/(((B23+B24+B25+B27+B28+B29+B34+B35+B36+B37+B38)/100+1)*2.51*0.685*160),0)</f>
        <v>582</v>
      </c>
      <c r="K76" s="22">
        <f>C76+D76+E76+2*F76+2*G76+2*H76+I76+J76</f>
        <v>9616</v>
      </c>
      <c r="L76" s="22"/>
    </row>
    <row r="77" spans="1:12" x14ac:dyDescent="0.25">
      <c r="A77" s="21"/>
      <c r="B77" s="41" t="s">
        <v>31</v>
      </c>
      <c r="C77" s="41">
        <f>C76*B13/1000</f>
        <v>486.17399999999998</v>
      </c>
      <c r="D77" s="41">
        <f>D76*B14/1000</f>
        <v>450.64400000000001</v>
      </c>
      <c r="E77" s="41"/>
      <c r="F77" s="41">
        <f>F76*B16/1000</f>
        <v>616.25400000000002</v>
      </c>
      <c r="G77" s="41">
        <f>G76*B17/1000</f>
        <v>578.55999999999995</v>
      </c>
      <c r="H77" s="41">
        <f>H76*B18/1000</f>
        <v>444.78</v>
      </c>
      <c r="I77" s="41">
        <f>I76*B20/1000</f>
        <v>583.98400000000004</v>
      </c>
      <c r="J77" s="41">
        <f>J76*B21/1000</f>
        <v>368.40600000000001</v>
      </c>
      <c r="K77" s="41">
        <f>SUM(C77:J77)</f>
        <v>3528.8020000000001</v>
      </c>
      <c r="L77" s="41">
        <f>B29*K77</f>
        <v>10586.406000000001</v>
      </c>
    </row>
    <row r="79" spans="1:12" x14ac:dyDescent="0.25">
      <c r="A79" s="5" t="s">
        <v>106</v>
      </c>
    </row>
    <row r="80" spans="1:12" x14ac:dyDescent="0.25">
      <c r="A80" t="s">
        <v>107</v>
      </c>
    </row>
    <row r="81" spans="1:5" x14ac:dyDescent="0.25">
      <c r="A81" t="s">
        <v>108</v>
      </c>
    </row>
    <row r="83" spans="1:5" x14ac:dyDescent="0.25">
      <c r="A83" s="44" t="s">
        <v>119</v>
      </c>
      <c r="B83" s="48"/>
      <c r="C83" s="48"/>
      <c r="D83" s="48"/>
      <c r="E83" s="48"/>
    </row>
  </sheetData>
  <pageMargins left="0.7" right="0.7" top="0.75" bottom="0.75" header="0.3" footer="0.3"/>
  <pageSetup paperSize="0" orientation="portrait" horizontalDpi="0" verticalDpi="0" copies="0"/>
  <ignoredErrors>
    <ignoredError sqref="K48 K55 K62 K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Судный день</vt:lpstr>
      <vt:lpstr>Армагеддон</vt:lpstr>
      <vt:lpstr>Вторжение теней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2021-06-05T20:45:48Z</dcterms:modified>
</cp:coreProperties>
</file>